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W:\Финансовый отдел\_Общие документы\2025 год\ОТЧЕТ по ф. 0503117 2025 год\"/>
    </mc:Choice>
  </mc:AlternateContent>
  <xr:revisionPtr revIDLastSave="0" documentId="13_ncr:1_{E801B5A6-BE18-40B6-85ED-19A5C1482B3A}" xr6:coauthVersionLast="47" xr6:coauthVersionMax="47" xr10:uidLastSave="{00000000-0000-0000-0000-000000000000}"/>
  <bookViews>
    <workbookView xWindow="-110" yWindow="-110" windowWidth="19420" windowHeight="10420" xr2:uid="{1F86FCE3-941D-4414-87AE-56F1D8E8BDDD}"/>
  </bookViews>
  <sheets>
    <sheet name="форма 117(декабрь)" sheetId="1" r:id="rId1"/>
  </sheets>
  <definedNames>
    <definedName name="__col1">#REF!</definedName>
    <definedName name="__col10">#REF!</definedName>
    <definedName name="__col11">#REF!</definedName>
    <definedName name="__col12">#REF!</definedName>
    <definedName name="__col13">#REF!</definedName>
    <definedName name="__col14">#REF!</definedName>
    <definedName name="__col15">#REF!</definedName>
    <definedName name="__col16">#REF!</definedName>
    <definedName name="__col17">#REF!</definedName>
    <definedName name="__col18">#REF!</definedName>
    <definedName name="__col19">#REF!</definedName>
    <definedName name="__col2">#REF!</definedName>
    <definedName name="__col20">#REF!</definedName>
    <definedName name="__col21">#REF!</definedName>
    <definedName name="__col22">#REF!</definedName>
    <definedName name="__col23">#REF!</definedName>
    <definedName name="__col24">#REF!</definedName>
    <definedName name="__col25">#REF!</definedName>
    <definedName name="__col26">#REF!</definedName>
    <definedName name="__col27">#REF!</definedName>
    <definedName name="__col3">#REF!</definedName>
    <definedName name="__col4">#REF!</definedName>
    <definedName name="__col5">#REF!</definedName>
    <definedName name="__col6">#REF!</definedName>
    <definedName name="__col7">#REF!</definedName>
    <definedName name="__col8">#REF!</definedName>
    <definedName name="__col9">#REF!</definedName>
    <definedName name="__End1">#REF!</definedName>
    <definedName name="__End10">#REF!</definedName>
    <definedName name="__End2">#REF!</definedName>
    <definedName name="__End3">#REF!</definedName>
    <definedName name="__End4">#REF!</definedName>
    <definedName name="__End5">#REF!</definedName>
    <definedName name="__End6">#REF!</definedName>
    <definedName name="__End7">#REF!</definedName>
    <definedName name="__End8">#REF!</definedName>
    <definedName name="__End9">#REF!</definedName>
    <definedName name="_col1" localSheetId="0">#REF!</definedName>
    <definedName name="_col10" localSheetId="0">#REF!</definedName>
    <definedName name="_col11" localSheetId="0">#REF!</definedName>
    <definedName name="_col12" localSheetId="0">#REF!</definedName>
    <definedName name="_col13" localSheetId="0">#REF!</definedName>
    <definedName name="_col14" localSheetId="0">#REF!</definedName>
    <definedName name="_col15" localSheetId="0">#REF!</definedName>
    <definedName name="_col16" localSheetId="0">#REF!</definedName>
    <definedName name="_col17" localSheetId="0">#REF!</definedName>
    <definedName name="_col18" localSheetId="0">#REF!</definedName>
    <definedName name="_col19" localSheetId="0">#REF!</definedName>
    <definedName name="_col2" localSheetId="0">#REF!</definedName>
    <definedName name="_col20" localSheetId="0">#REF!</definedName>
    <definedName name="_col21" localSheetId="0">#REF!</definedName>
    <definedName name="_col22" localSheetId="0">#REF!</definedName>
    <definedName name="_col23" localSheetId="0">#REF!</definedName>
    <definedName name="_col24" localSheetId="0">#REF!</definedName>
    <definedName name="_col25" localSheetId="0">#REF!</definedName>
    <definedName name="_col26" localSheetId="0">#REF!</definedName>
    <definedName name="_col27" localSheetId="0">#REF!</definedName>
    <definedName name="_col3" localSheetId="0">#REF!</definedName>
    <definedName name="_col4" localSheetId="0">#REF!</definedName>
    <definedName name="_col5" localSheetId="0">#REF!</definedName>
    <definedName name="_col6" localSheetId="0">#REF!</definedName>
    <definedName name="_col7" localSheetId="0">#REF!</definedName>
    <definedName name="_col8" localSheetId="0">#REF!</definedName>
    <definedName name="_col9" localSheetId="0">#REF!</definedName>
    <definedName name="_End1" localSheetId="0">#REF!</definedName>
    <definedName name="_End10" localSheetId="0">#REF!</definedName>
    <definedName name="_End2" localSheetId="0">#REF!</definedName>
    <definedName name="_End3" localSheetId="0">#REF!</definedName>
    <definedName name="_End4" localSheetId="0">#REF!</definedName>
    <definedName name="_End5" localSheetId="0">#REF!</definedName>
    <definedName name="_End6" localSheetId="0">#REF!</definedName>
    <definedName name="_End7" localSheetId="0">#REF!</definedName>
    <definedName name="_End8" localSheetId="0">#REF!</definedName>
    <definedName name="_End9" localSheetId="0">#REF!</definedName>
    <definedName name="_Otchet_Period_Source__AT_ObjectName">#REF!</definedName>
    <definedName name="_Period_">#REF!</definedName>
    <definedName name="_PIsp_">#REF!</definedName>
    <definedName name="_PRuk_">#REF!</definedName>
    <definedName name="_xlnm._FilterDatabase" localSheetId="0" hidden="1">'форма 117(декабрь)'!$A$210:$CQ$1053</definedName>
    <definedName name="ajhvf117">#REF!</definedName>
    <definedName name="budg_name" localSheetId="0">#REF!</definedName>
    <definedName name="budg_name">#REF!</definedName>
    <definedName name="cb_address" localSheetId="0">#REF!</definedName>
    <definedName name="cb_address">#REF!</definedName>
    <definedName name="cb_inn" localSheetId="0">#REF!</definedName>
    <definedName name="cb_inn">#REF!</definedName>
    <definedName name="cb_kpp" localSheetId="0">#REF!</definedName>
    <definedName name="cb_kpp">#REF!</definedName>
    <definedName name="cb_name" localSheetId="0">#REF!</definedName>
    <definedName name="cb_name">#REF!</definedName>
    <definedName name="cb_ogrn" localSheetId="0">#REF!</definedName>
    <definedName name="cb_ogrn">#REF!</definedName>
    <definedName name="chief" localSheetId="0">#REF!</definedName>
    <definedName name="chief">#REF!</definedName>
    <definedName name="chief_div" localSheetId="0">#REF!</definedName>
    <definedName name="chief_div">#REF!</definedName>
    <definedName name="chief_fin" localSheetId="0">#REF!</definedName>
    <definedName name="chief_fin">#REF!</definedName>
    <definedName name="chief_OUR" localSheetId="0">#REF!</definedName>
    <definedName name="chief_OUR">#REF!</definedName>
    <definedName name="chief_post" localSheetId="0">#REF!</definedName>
    <definedName name="chief_post">#REF!</definedName>
    <definedName name="CHIEF_POST_OUR" localSheetId="0">#REF!</definedName>
    <definedName name="CHIEF_POST_OUR">#REF!</definedName>
    <definedName name="chief_soc_fio" localSheetId="0">#REF!</definedName>
    <definedName name="chief_soc_fio">#REF!</definedName>
    <definedName name="chief_soc_post" localSheetId="0">#REF!</definedName>
    <definedName name="chief_soc_post">#REF!</definedName>
    <definedName name="code" localSheetId="0">#REF!</definedName>
    <definedName name="code">#REF!</definedName>
    <definedName name="colatr">#REF!</definedName>
    <definedName name="colitog">#REF!</definedName>
    <definedName name="colnn10" localSheetId="0">#REF!</definedName>
    <definedName name="colnn10">#REF!</definedName>
    <definedName name="colnn11" localSheetId="0">#REF!</definedName>
    <definedName name="colnn11">#REF!</definedName>
    <definedName name="colnn12" localSheetId="0">#REF!</definedName>
    <definedName name="colnn12">#REF!</definedName>
    <definedName name="colnn13" localSheetId="0">#REF!</definedName>
    <definedName name="colnn13">#REF!</definedName>
    <definedName name="colnn14" localSheetId="0">#REF!</definedName>
    <definedName name="colnn14">#REF!</definedName>
    <definedName name="colnn15" localSheetId="0">#REF!</definedName>
    <definedName name="colnn15">#REF!</definedName>
    <definedName name="colnn16" localSheetId="0">#REF!</definedName>
    <definedName name="colnn16">#REF!</definedName>
    <definedName name="colnn17" localSheetId="0">#REF!</definedName>
    <definedName name="colnn17">#REF!</definedName>
    <definedName name="colnn18" localSheetId="0">#REF!</definedName>
    <definedName name="colnn18">#REF!</definedName>
    <definedName name="colnn19" localSheetId="0">#REF!</definedName>
    <definedName name="colnn19">#REF!</definedName>
    <definedName name="colnn20" localSheetId="0">#REF!</definedName>
    <definedName name="colnn20">#REF!</definedName>
    <definedName name="colnn21" localSheetId="0">#REF!</definedName>
    <definedName name="colnn21">#REF!</definedName>
    <definedName name="colnn22" localSheetId="0">#REF!</definedName>
    <definedName name="colnn22">#REF!</definedName>
    <definedName name="colnn23" localSheetId="0">#REF!</definedName>
    <definedName name="colnn23">#REF!</definedName>
    <definedName name="colnn24" localSheetId="0">#REF!</definedName>
    <definedName name="colnn24">#REF!</definedName>
    <definedName name="colnn25" localSheetId="0">#REF!</definedName>
    <definedName name="colnn25">#REF!</definedName>
    <definedName name="colnn26" localSheetId="0">#REF!</definedName>
    <definedName name="colnn26">#REF!</definedName>
    <definedName name="colnn27" localSheetId="0">#REF!</definedName>
    <definedName name="colnn27">#REF!</definedName>
    <definedName name="colnn4" localSheetId="0">#REF!</definedName>
    <definedName name="colnn4">#REF!</definedName>
    <definedName name="colnn5" localSheetId="0">#REF!</definedName>
    <definedName name="colnn5">#REF!</definedName>
    <definedName name="colnn6" localSheetId="0">#REF!</definedName>
    <definedName name="colnn6">#REF!</definedName>
    <definedName name="colnn7" localSheetId="0">#REF!</definedName>
    <definedName name="colnn7">#REF!</definedName>
    <definedName name="colnn8" localSheetId="0">#REF!</definedName>
    <definedName name="colnn8">#REF!</definedName>
    <definedName name="colnn9" localSheetId="0">#REF!</definedName>
    <definedName name="colnn9">#REF!</definedName>
    <definedName name="CurentGroup" localSheetId="0">#REF!</definedName>
    <definedName name="CurentGroup">#REF!</definedName>
    <definedName name="CURR_USER" localSheetId="0">#REF!</definedName>
    <definedName name="CURR_USER">#REF!</definedName>
    <definedName name="CurRow" localSheetId="0">#REF!</definedName>
    <definedName name="CurRow">#REF!</definedName>
    <definedName name="cyear1" localSheetId="0">#REF!</definedName>
    <definedName name="cyear1">#REF!</definedName>
    <definedName name="Data" localSheetId="0">#REF!</definedName>
    <definedName name="Data">#REF!</definedName>
    <definedName name="DataFields" localSheetId="0">#REF!</definedName>
    <definedName name="DataFields">#REF!</definedName>
    <definedName name="date_BEG" localSheetId="0">#REF!</definedName>
    <definedName name="date_BEG">#REF!</definedName>
    <definedName name="date_END" localSheetId="0">#REF!</definedName>
    <definedName name="date_END">#REF!</definedName>
    <definedName name="del" localSheetId="0">#REF!</definedName>
    <definedName name="del">#REF!</definedName>
    <definedName name="dep_full_name" localSheetId="0">#REF!</definedName>
    <definedName name="dep_full_name">#REF!</definedName>
    <definedName name="dep_link" localSheetId="0">#REF!</definedName>
    <definedName name="dep_link">#REF!</definedName>
    <definedName name="dep_name1" localSheetId="0">#REF!</definedName>
    <definedName name="dep_name1">#REF!</definedName>
    <definedName name="doc_date" localSheetId="0">#REF!</definedName>
    <definedName name="doc_date">#REF!</definedName>
    <definedName name="doc_num" localSheetId="0">#REF!</definedName>
    <definedName name="doc_num">#REF!</definedName>
    <definedName name="doc_quarter" localSheetId="0">#REF!</definedName>
    <definedName name="doc_quarter">#REF!</definedName>
    <definedName name="EndRow" localSheetId="0">#REF!</definedName>
    <definedName name="EndRow">#REF!</definedName>
    <definedName name="glbuh" localSheetId="0">#REF!</definedName>
    <definedName name="glbuh">#REF!</definedName>
    <definedName name="GLBUH_OUR" localSheetId="0">#REF!</definedName>
    <definedName name="GLBUH_OUR">#REF!</definedName>
    <definedName name="GroupOrder" localSheetId="0">#REF!</definedName>
    <definedName name="GroupOrder">#REF!</definedName>
    <definedName name="HEAD" localSheetId="0">#REF!</definedName>
    <definedName name="HEAD">#REF!</definedName>
    <definedName name="isp" localSheetId="0">#REF!</definedName>
    <definedName name="isp">#REF!</definedName>
    <definedName name="isp_post" localSheetId="0">#REF!</definedName>
    <definedName name="isp_post">#REF!</definedName>
    <definedName name="isp_tel" localSheetId="0">#REF!</definedName>
    <definedName name="isp_tel">#REF!</definedName>
    <definedName name="longname" localSheetId="0">#REF!</definedName>
    <definedName name="longname">#REF!</definedName>
    <definedName name="LONGNAME_OUR" localSheetId="0">#REF!</definedName>
    <definedName name="LONGNAME_OUR">#REF!</definedName>
    <definedName name="notnullcol" localSheetId="0">#REF!</definedName>
    <definedName name="notnullcol">#REF!</definedName>
    <definedName name="okato" localSheetId="0">#REF!</definedName>
    <definedName name="okato">#REF!</definedName>
    <definedName name="okato1" localSheetId="0">#REF!</definedName>
    <definedName name="okato1">#REF!</definedName>
    <definedName name="okato2" localSheetId="0">#REF!</definedName>
    <definedName name="okato2">#REF!</definedName>
    <definedName name="okpo" localSheetId="0">#REF!</definedName>
    <definedName name="okpo">#REF!</definedName>
    <definedName name="OKPO_OUR" localSheetId="0">#REF!</definedName>
    <definedName name="OKPO_OUR">#REF!</definedName>
    <definedName name="okved" localSheetId="0">#REF!</definedName>
    <definedName name="okved">#REF!</definedName>
    <definedName name="okved1" localSheetId="0">#REF!</definedName>
    <definedName name="okved1">#REF!</definedName>
    <definedName name="orders" localSheetId="0">#REF!</definedName>
    <definedName name="orders">#REF!</definedName>
    <definedName name="orgname" localSheetId="0">#REF!</definedName>
    <definedName name="orgname">#REF!</definedName>
    <definedName name="ORGNAME_OUR" localSheetId="0">#REF!</definedName>
    <definedName name="ORGNAME_OUR">#REF!</definedName>
    <definedName name="performer_fio" localSheetId="0">#REF!</definedName>
    <definedName name="performer_fio">#REF!</definedName>
    <definedName name="performer_phone" localSheetId="0">#REF!</definedName>
    <definedName name="performer_phone">#REF!</definedName>
    <definedName name="performer_post" localSheetId="0">#REF!</definedName>
    <definedName name="performer_post">#REF!</definedName>
    <definedName name="performer_soc_fio" localSheetId="0">#REF!</definedName>
    <definedName name="performer_soc_fio">#REF!</definedName>
    <definedName name="performer_soc_phone" localSheetId="0">#REF!</definedName>
    <definedName name="performer_soc_phone">#REF!</definedName>
    <definedName name="performer_soc_post" localSheetId="0">#REF!</definedName>
    <definedName name="performer_soc_post">#REF!</definedName>
    <definedName name="PERIOD_WORK" localSheetId="0">#REF!</definedName>
    <definedName name="PERIOD_WORK">#REF!</definedName>
    <definedName name="PPP_CODE" localSheetId="0">#REF!</definedName>
    <definedName name="PPP_CODE">#REF!</definedName>
    <definedName name="PPP_CODE1" localSheetId="0">#REF!</definedName>
    <definedName name="PPP_CODE1">#REF!</definedName>
    <definedName name="PPP_NAME" localSheetId="0">#REF!</definedName>
    <definedName name="PPP_NAME">#REF!</definedName>
    <definedName name="region" localSheetId="0">#REF!</definedName>
    <definedName name="region">#REF!</definedName>
    <definedName name="REGION_OUR" localSheetId="0">#REF!</definedName>
    <definedName name="REGION_OUR">#REF!</definedName>
    <definedName name="REM_SONO" localSheetId="0">#REF!</definedName>
    <definedName name="REM_SONO">#REF!</definedName>
    <definedName name="rem_year" localSheetId="0">#REF!</definedName>
    <definedName name="rem_year">#REF!</definedName>
    <definedName name="replace_zero" localSheetId="0">#REF!</definedName>
    <definedName name="replace_zero">#REF!</definedName>
    <definedName name="reports_atr_acc_2011">#REF!</definedName>
    <definedName name="reports_atr_prp">#REF!</definedName>
    <definedName name="reports_filter_kbk">#REF!</definedName>
    <definedName name="sono" localSheetId="0">#REF!</definedName>
    <definedName name="sono">#REF!</definedName>
    <definedName name="SONO_OUR" localSheetId="0">#REF!</definedName>
    <definedName name="SONO_OUR">#REF!</definedName>
    <definedName name="Start1" localSheetId="0">#REF!</definedName>
    <definedName name="Start1">#REF!</definedName>
    <definedName name="Start10" localSheetId="0">#REF!</definedName>
    <definedName name="Start10">#REF!</definedName>
    <definedName name="Start2" localSheetId="0">#REF!</definedName>
    <definedName name="Start2">#REF!</definedName>
    <definedName name="Start3" localSheetId="0">#REF!</definedName>
    <definedName name="Start3">#REF!</definedName>
    <definedName name="Start4" localSheetId="0">#REF!</definedName>
    <definedName name="Start4">#REF!</definedName>
    <definedName name="Start5" localSheetId="0">#REF!</definedName>
    <definedName name="Start5">#REF!</definedName>
    <definedName name="Start6" localSheetId="0">#REF!</definedName>
    <definedName name="Start6">#REF!</definedName>
    <definedName name="Start7" localSheetId="0">#REF!</definedName>
    <definedName name="Start7">#REF!</definedName>
    <definedName name="Start8" localSheetId="0">#REF!</definedName>
    <definedName name="Start8">#REF!</definedName>
    <definedName name="Start9" localSheetId="0">#REF!</definedName>
    <definedName name="Start9">#REF!</definedName>
    <definedName name="StartData" localSheetId="0">#REF!</definedName>
    <definedName name="StartData">#REF!</definedName>
    <definedName name="StartRow" localSheetId="0">#REF!</definedName>
    <definedName name="StartRow">#REF!</definedName>
    <definedName name="TOWN" localSheetId="0">#REF!</definedName>
    <definedName name="TOWN">#REF!</definedName>
    <definedName name="ul_fio" localSheetId="0">#REF!</definedName>
    <definedName name="ul_fio">#REF!</definedName>
    <definedName name="ul_post" localSheetId="0">#REF!</definedName>
    <definedName name="ul_post">#REF!</definedName>
    <definedName name="USER_POST" localSheetId="0">#REF!</definedName>
    <definedName name="USER_POST">#REF!</definedName>
    <definedName name="ved" localSheetId="0">#REF!</definedName>
    <definedName name="ved">#REF!</definedName>
    <definedName name="ved_name" localSheetId="0">#REF!</definedName>
    <definedName name="ved_name">#REF!</definedName>
    <definedName name="web" localSheetId="0">#REF!</definedName>
    <definedName name="web">#REF!</definedName>
    <definedName name="wrn.7._.вариантов." localSheetId="0" hidden="1">{#N/A,#N/A,FALSE,"Лист2";#N/A,#N/A,FALSE,"Лист2 (2)";#N/A,#N/A,FALSE,"фот данные ТН";#N/A,#N/A,FALSE,"численность ТН";#N/A,#N/A,FALSE,"самый последний"}</definedName>
    <definedName name="wrn.7._.вариантов." hidden="1">{#N/A,#N/A,FALSE,"Лист2";#N/A,#N/A,FALSE,"Лист2 (2)";#N/A,#N/A,FALSE,"фот данные ТН";#N/A,#N/A,FALSE,"численность ТН";#N/A,#N/A,FALSE,"самый последний"}</definedName>
    <definedName name="wrn.7.2.вариантов." localSheetId="0" hidden="1">{#N/A,#N/A,FALSE,"Лист2";#N/A,#N/A,FALSE,"Лист2 (2)";#N/A,#N/A,FALSE,"фот данные ТН";#N/A,#N/A,FALSE,"численность ТН";#N/A,#N/A,FALSE,"самый последний"}</definedName>
    <definedName name="wrn.7.2.вариантов." hidden="1">{#N/A,#N/A,FALSE,"Лист2";#N/A,#N/A,FALSE,"Лист2 (2)";#N/A,#N/A,FALSE,"фот данные ТН";#N/A,#N/A,FALSE,"численность ТН";#N/A,#N/A,FALSE,"самый последний"}</definedName>
    <definedName name="_xlnm.Print_Titles" localSheetId="0">'форма 117(декабрь)'!$14:$14</definedName>
    <definedName name="_xlnm.Print_Area" localSheetId="0">'форма 117(декабрь)'!$A$1:$F$1100</definedName>
    <definedName name="прогноз2001" localSheetId="0" hidden="1">{#N/A,#N/A,FALSE,"Лист2";#N/A,#N/A,FALSE,"Лист2 (2)";#N/A,#N/A,FALSE,"фот данные ТН";#N/A,#N/A,FALSE,"численность ТН";#N/A,#N/A,FALSE,"самый последний"}</definedName>
    <definedName name="прогноз2001" hidden="1">{#N/A,#N/A,FALSE,"Лист2";#N/A,#N/A,FALSE,"Лист2 (2)";#N/A,#N/A,FALSE,"фот данные ТН";#N/A,#N/A,FALSE,"численность ТН";#N/A,#N/A,FALSE,"самый последний"}</definedName>
    <definedName name="ф117декабрь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59" i="1" l="1"/>
  <c r="E1088" i="1"/>
  <c r="E1087" i="1" s="1"/>
  <c r="D1088" i="1"/>
  <c r="D1087" i="1" s="1"/>
  <c r="D1073" i="1" s="1"/>
  <c r="E1080" i="1"/>
  <c r="E1079" i="1" s="1"/>
  <c r="E1073" i="1" s="1"/>
  <c r="E1058" i="1"/>
  <c r="D1058" i="1"/>
  <c r="E1057" i="1"/>
  <c r="D1057" i="1"/>
  <c r="F1053" i="1"/>
  <c r="F1052" i="1"/>
  <c r="E1052" i="1"/>
  <c r="E1051" i="1" s="1"/>
  <c r="E1050" i="1" s="1"/>
  <c r="E1049" i="1" s="1"/>
  <c r="E1048" i="1" s="1"/>
  <c r="D1052" i="1"/>
  <c r="D1051" i="1" s="1"/>
  <c r="D1050" i="1" s="1"/>
  <c r="E1047" i="1"/>
  <c r="F1046" i="1"/>
  <c r="E1045" i="1"/>
  <c r="D1045" i="1"/>
  <c r="F1044" i="1"/>
  <c r="E1043" i="1"/>
  <c r="E1042" i="1" s="1"/>
  <c r="D1043" i="1"/>
  <c r="D1042" i="1" s="1"/>
  <c r="F1041" i="1"/>
  <c r="E1040" i="1"/>
  <c r="E1039" i="1" s="1"/>
  <c r="D1040" i="1"/>
  <c r="F1034" i="1"/>
  <c r="F1033" i="1"/>
  <c r="E1033" i="1"/>
  <c r="E1032" i="1" s="1"/>
  <c r="E1031" i="1" s="1"/>
  <c r="D1033" i="1"/>
  <c r="D1032" i="1" s="1"/>
  <c r="F1030" i="1"/>
  <c r="E1029" i="1"/>
  <c r="D1029" i="1"/>
  <c r="F1029" i="1" s="1"/>
  <c r="E1028" i="1"/>
  <c r="E1027" i="1" s="1"/>
  <c r="D1028" i="1"/>
  <c r="E1025" i="1"/>
  <c r="E1024" i="1" s="1"/>
  <c r="D1025" i="1"/>
  <c r="D1024" i="1" s="1"/>
  <c r="D1023" i="1" s="1"/>
  <c r="F1021" i="1"/>
  <c r="E1020" i="1"/>
  <c r="E1019" i="1" s="1"/>
  <c r="E1018" i="1" s="1"/>
  <c r="D1020" i="1"/>
  <c r="D1019" i="1" s="1"/>
  <c r="F1015" i="1"/>
  <c r="E1014" i="1"/>
  <c r="E1013" i="1" s="1"/>
  <c r="E1012" i="1" s="1"/>
  <c r="E1011" i="1" s="1"/>
  <c r="E1010" i="1" s="1"/>
  <c r="D1014" i="1"/>
  <c r="D1013" i="1" s="1"/>
  <c r="F1008" i="1"/>
  <c r="E1007" i="1"/>
  <c r="D1007" i="1"/>
  <c r="F1007" i="1" s="1"/>
  <c r="E1006" i="1"/>
  <c r="F1004" i="1"/>
  <c r="E1003" i="1"/>
  <c r="D1003" i="1"/>
  <c r="F1003" i="1" s="1"/>
  <c r="F1002" i="1"/>
  <c r="E1001" i="1"/>
  <c r="E1000" i="1" s="1"/>
  <c r="E999" i="1" s="1"/>
  <c r="E998" i="1" s="1"/>
  <c r="D1001" i="1"/>
  <c r="F1001" i="1" s="1"/>
  <c r="E996" i="1"/>
  <c r="F996" i="1" s="1"/>
  <c r="D995" i="1"/>
  <c r="D994" i="1"/>
  <c r="F992" i="1"/>
  <c r="E991" i="1"/>
  <c r="E990" i="1" s="1"/>
  <c r="D991" i="1"/>
  <c r="D990" i="1" s="1"/>
  <c r="D989" i="1" s="1"/>
  <c r="E987" i="1"/>
  <c r="E986" i="1" s="1"/>
  <c r="E985" i="1" s="1"/>
  <c r="D987" i="1"/>
  <c r="E984" i="1"/>
  <c r="F983" i="1"/>
  <c r="E982" i="1"/>
  <c r="E981" i="1" s="1"/>
  <c r="E980" i="1" s="1"/>
  <c r="D982" i="1"/>
  <c r="F982" i="1" s="1"/>
  <c r="F976" i="1"/>
  <c r="E975" i="1"/>
  <c r="E974" i="1" s="1"/>
  <c r="E973" i="1" s="1"/>
  <c r="D975" i="1"/>
  <c r="F972" i="1"/>
  <c r="F971" i="1"/>
  <c r="E970" i="1"/>
  <c r="E969" i="1" s="1"/>
  <c r="E968" i="1" s="1"/>
  <c r="D970" i="1"/>
  <c r="F970" i="1" s="1"/>
  <c r="F967" i="1"/>
  <c r="E966" i="1"/>
  <c r="D966" i="1"/>
  <c r="D965" i="1"/>
  <c r="F963" i="1"/>
  <c r="E962" i="1"/>
  <c r="E961" i="1" s="1"/>
  <c r="D962" i="1"/>
  <c r="D961" i="1"/>
  <c r="D960" i="1" s="1"/>
  <c r="E958" i="1"/>
  <c r="E957" i="1" s="1"/>
  <c r="D958" i="1"/>
  <c r="F958" i="1" s="1"/>
  <c r="E956" i="1"/>
  <c r="E955" i="1" s="1"/>
  <c r="E954" i="1"/>
  <c r="E953" i="1"/>
  <c r="D953" i="1"/>
  <c r="D952" i="1"/>
  <c r="F945" i="1"/>
  <c r="E944" i="1"/>
  <c r="D944" i="1"/>
  <c r="F944" i="1" s="1"/>
  <c r="E943" i="1"/>
  <c r="D943" i="1"/>
  <c r="D942" i="1" s="1"/>
  <c r="E942" i="1"/>
  <c r="F941" i="1"/>
  <c r="E940" i="1"/>
  <c r="E939" i="1" s="1"/>
  <c r="E938" i="1" s="1"/>
  <c r="D940" i="1"/>
  <c r="D939" i="1" s="1"/>
  <c r="E936" i="1"/>
  <c r="D936" i="1"/>
  <c r="D935" i="1" s="1"/>
  <c r="E935" i="1"/>
  <c r="E934" i="1" s="1"/>
  <c r="E933" i="1" s="1"/>
  <c r="D934" i="1"/>
  <c r="F932" i="1"/>
  <c r="E931" i="1"/>
  <c r="D931" i="1"/>
  <c r="E930" i="1"/>
  <c r="D930" i="1"/>
  <c r="D929" i="1" s="1"/>
  <c r="E929" i="1"/>
  <c r="F928" i="1"/>
  <c r="F927" i="1"/>
  <c r="F926" i="1"/>
  <c r="E926" i="1"/>
  <c r="E925" i="1" s="1"/>
  <c r="D926" i="1"/>
  <c r="D925" i="1" s="1"/>
  <c r="F925" i="1" s="1"/>
  <c r="F924" i="1"/>
  <c r="E923" i="1"/>
  <c r="E922" i="1" s="1"/>
  <c r="E921" i="1" s="1"/>
  <c r="D923" i="1"/>
  <c r="F923" i="1" s="1"/>
  <c r="F920" i="1"/>
  <c r="F919" i="1"/>
  <c r="E919" i="1"/>
  <c r="E918" i="1" s="1"/>
  <c r="D919" i="1"/>
  <c r="D918" i="1"/>
  <c r="E917" i="1"/>
  <c r="D917" i="1"/>
  <c r="F917" i="1" s="1"/>
  <c r="E916" i="1"/>
  <c r="E915" i="1" s="1"/>
  <c r="E914" i="1" s="1"/>
  <c r="E913" i="1" s="1"/>
  <c r="D916" i="1"/>
  <c r="E912" i="1"/>
  <c r="E907" i="1" s="1"/>
  <c r="E906" i="1" s="1"/>
  <c r="E905" i="1" s="1"/>
  <c r="E904" i="1" s="1"/>
  <c r="D912" i="1"/>
  <c r="E911" i="1"/>
  <c r="E910" i="1" s="1"/>
  <c r="E909" i="1" s="1"/>
  <c r="F903" i="1"/>
  <c r="E902" i="1"/>
  <c r="D902" i="1"/>
  <c r="F902" i="1" s="1"/>
  <c r="E901" i="1"/>
  <c r="D901" i="1"/>
  <c r="F901" i="1" s="1"/>
  <c r="E900" i="1"/>
  <c r="F898" i="1"/>
  <c r="E897" i="1"/>
  <c r="E896" i="1" s="1"/>
  <c r="E895" i="1" s="1"/>
  <c r="E894" i="1" s="1"/>
  <c r="D897" i="1"/>
  <c r="D896" i="1" s="1"/>
  <c r="F893" i="1"/>
  <c r="E892" i="1"/>
  <c r="E891" i="1" s="1"/>
  <c r="E890" i="1" s="1"/>
  <c r="D892" i="1"/>
  <c r="F892" i="1" s="1"/>
  <c r="F889" i="1"/>
  <c r="E888" i="1"/>
  <c r="F888" i="1" s="1"/>
  <c r="D888" i="1"/>
  <c r="D887" i="1"/>
  <c r="F885" i="1"/>
  <c r="E884" i="1"/>
  <c r="E883" i="1" s="1"/>
  <c r="E882" i="1" s="1"/>
  <c r="D884" i="1"/>
  <c r="D883" i="1" s="1"/>
  <c r="F881" i="1"/>
  <c r="E880" i="1"/>
  <c r="D880" i="1"/>
  <c r="D879" i="1"/>
  <c r="F877" i="1"/>
  <c r="E876" i="1"/>
  <c r="E875" i="1" s="1"/>
  <c r="F875" i="1" s="1"/>
  <c r="D876" i="1"/>
  <c r="D875" i="1"/>
  <c r="D874" i="1" s="1"/>
  <c r="F872" i="1"/>
  <c r="E871" i="1"/>
  <c r="E870" i="1" s="1"/>
  <c r="E869" i="1" s="1"/>
  <c r="D871" i="1"/>
  <c r="F868" i="1"/>
  <c r="F867" i="1"/>
  <c r="E867" i="1"/>
  <c r="D867" i="1"/>
  <c r="D866" i="1" s="1"/>
  <c r="F866" i="1" s="1"/>
  <c r="E866" i="1"/>
  <c r="E865" i="1" s="1"/>
  <c r="F862" i="1"/>
  <c r="E861" i="1"/>
  <c r="E860" i="1" s="1"/>
  <c r="E859" i="1" s="1"/>
  <c r="D861" i="1"/>
  <c r="D860" i="1" s="1"/>
  <c r="D859" i="1" s="1"/>
  <c r="F859" i="1" s="1"/>
  <c r="F858" i="1"/>
  <c r="E857" i="1"/>
  <c r="E856" i="1" s="1"/>
  <c r="E855" i="1" s="1"/>
  <c r="D857" i="1"/>
  <c r="F857" i="1" s="1"/>
  <c r="F854" i="1"/>
  <c r="F853" i="1"/>
  <c r="E853" i="1"/>
  <c r="E852" i="1" s="1"/>
  <c r="E851" i="1" s="1"/>
  <c r="E850" i="1" s="1"/>
  <c r="D853" i="1"/>
  <c r="D852" i="1" s="1"/>
  <c r="F849" i="1"/>
  <c r="E848" i="1"/>
  <c r="E847" i="1" s="1"/>
  <c r="E846" i="1" s="1"/>
  <c r="E845" i="1" s="1"/>
  <c r="D848" i="1"/>
  <c r="F848" i="1" s="1"/>
  <c r="F844" i="1"/>
  <c r="E843" i="1"/>
  <c r="E842" i="1" s="1"/>
  <c r="E841" i="1" s="1"/>
  <c r="D843" i="1"/>
  <c r="F840" i="1"/>
  <c r="E839" i="1"/>
  <c r="D839" i="1"/>
  <c r="D838" i="1" s="1"/>
  <c r="E838" i="1"/>
  <c r="E837" i="1" s="1"/>
  <c r="D837" i="1"/>
  <c r="F837" i="1" s="1"/>
  <c r="E835" i="1"/>
  <c r="E834" i="1" s="1"/>
  <c r="E833" i="1" s="1"/>
  <c r="E832" i="1" s="1"/>
  <c r="D835" i="1"/>
  <c r="F831" i="1"/>
  <c r="E830" i="1"/>
  <c r="E829" i="1" s="1"/>
  <c r="E828" i="1" s="1"/>
  <c r="D830" i="1"/>
  <c r="D826" i="1"/>
  <c r="F826" i="1" s="1"/>
  <c r="E825" i="1"/>
  <c r="E824" i="1" s="1"/>
  <c r="E823" i="1" s="1"/>
  <c r="D822" i="1"/>
  <c r="D821" i="1" s="1"/>
  <c r="E821" i="1"/>
  <c r="E820" i="1" s="1"/>
  <c r="E819" i="1" s="1"/>
  <c r="F817" i="1"/>
  <c r="E816" i="1"/>
  <c r="D816" i="1"/>
  <c r="F816" i="1" s="1"/>
  <c r="E815" i="1"/>
  <c r="E814" i="1" s="1"/>
  <c r="E809" i="1" s="1"/>
  <c r="D815" i="1"/>
  <c r="D814" i="1" s="1"/>
  <c r="F813" i="1"/>
  <c r="E812" i="1"/>
  <c r="E811" i="1" s="1"/>
  <c r="E810" i="1" s="1"/>
  <c r="D812" i="1"/>
  <c r="F807" i="1"/>
  <c r="E806" i="1"/>
  <c r="E805" i="1" s="1"/>
  <c r="E804" i="1" s="1"/>
  <c r="D806" i="1"/>
  <c r="F803" i="1"/>
  <c r="E802" i="1"/>
  <c r="E801" i="1" s="1"/>
  <c r="E800" i="1" s="1"/>
  <c r="D802" i="1"/>
  <c r="F802" i="1" s="1"/>
  <c r="D801" i="1"/>
  <c r="D800" i="1"/>
  <c r="F799" i="1"/>
  <c r="E798" i="1"/>
  <c r="E797" i="1" s="1"/>
  <c r="E796" i="1" s="1"/>
  <c r="D798" i="1"/>
  <c r="F795" i="1"/>
  <c r="E794" i="1"/>
  <c r="D794" i="1"/>
  <c r="E793" i="1"/>
  <c r="E792" i="1" s="1"/>
  <c r="D793" i="1"/>
  <c r="F793" i="1" s="1"/>
  <c r="D792" i="1"/>
  <c r="F791" i="1"/>
  <c r="E790" i="1"/>
  <c r="E789" i="1" s="1"/>
  <c r="E788" i="1" s="1"/>
  <c r="D790" i="1"/>
  <c r="F787" i="1"/>
  <c r="E786" i="1"/>
  <c r="D786" i="1"/>
  <c r="F786" i="1" s="1"/>
  <c r="E785" i="1"/>
  <c r="E784" i="1" s="1"/>
  <c r="D785" i="1"/>
  <c r="D784" i="1" s="1"/>
  <c r="F783" i="1"/>
  <c r="E782" i="1"/>
  <c r="E781" i="1" s="1"/>
  <c r="E780" i="1" s="1"/>
  <c r="D782" i="1"/>
  <c r="F782" i="1" s="1"/>
  <c r="E776" i="1"/>
  <c r="D776" i="1"/>
  <c r="D775" i="1" s="1"/>
  <c r="D774" i="1" s="1"/>
  <c r="E775" i="1"/>
  <c r="E772" i="1"/>
  <c r="E771" i="1" s="1"/>
  <c r="E770" i="1" s="1"/>
  <c r="E769" i="1" s="1"/>
  <c r="D771" i="1"/>
  <c r="E767" i="1"/>
  <c r="E766" i="1" s="1"/>
  <c r="E765" i="1" s="1"/>
  <c r="E764" i="1" s="1"/>
  <c r="D767" i="1"/>
  <c r="F767" i="1" s="1"/>
  <c r="F763" i="1"/>
  <c r="F762" i="1"/>
  <c r="E762" i="1"/>
  <c r="D762" i="1"/>
  <c r="E761" i="1"/>
  <c r="E760" i="1" s="1"/>
  <c r="D761" i="1"/>
  <c r="F761" i="1" s="1"/>
  <c r="D760" i="1"/>
  <c r="F758" i="1"/>
  <c r="E758" i="1"/>
  <c r="E757" i="1" s="1"/>
  <c r="E756" i="1" s="1"/>
  <c r="E755" i="1" s="1"/>
  <c r="D757" i="1"/>
  <c r="E754" i="1"/>
  <c r="D754" i="1"/>
  <c r="D753" i="1"/>
  <c r="D749" i="1"/>
  <c r="D748" i="1"/>
  <c r="F745" i="1"/>
  <c r="E744" i="1"/>
  <c r="F744" i="1" s="1"/>
  <c r="D744" i="1"/>
  <c r="D743" i="1"/>
  <c r="D742" i="1"/>
  <c r="F741" i="1"/>
  <c r="E740" i="1"/>
  <c r="E739" i="1" s="1"/>
  <c r="E738" i="1" s="1"/>
  <c r="D740" i="1"/>
  <c r="F737" i="1"/>
  <c r="E736" i="1"/>
  <c r="D736" i="1"/>
  <c r="F736" i="1" s="1"/>
  <c r="F735" i="1"/>
  <c r="F734" i="1"/>
  <c r="E734" i="1"/>
  <c r="E733" i="1" s="1"/>
  <c r="E732" i="1" s="1"/>
  <c r="D734" i="1"/>
  <c r="D733" i="1" s="1"/>
  <c r="D732" i="1" s="1"/>
  <c r="E729" i="1"/>
  <c r="D728" i="1"/>
  <c r="D727" i="1" s="1"/>
  <c r="D726" i="1"/>
  <c r="E725" i="1"/>
  <c r="D724" i="1"/>
  <c r="D723" i="1" s="1"/>
  <c r="D722" i="1" s="1"/>
  <c r="D720" i="1"/>
  <c r="D719" i="1" s="1"/>
  <c r="D718" i="1" s="1"/>
  <c r="D717" i="1" s="1"/>
  <c r="D716" i="1" s="1"/>
  <c r="F715" i="1"/>
  <c r="E714" i="1"/>
  <c r="E713" i="1" s="1"/>
  <c r="E712" i="1" s="1"/>
  <c r="D714" i="1"/>
  <c r="D713" i="1" s="1"/>
  <c r="D712" i="1" s="1"/>
  <c r="F712" i="1" s="1"/>
  <c r="F711" i="1"/>
  <c r="E710" i="1"/>
  <c r="D710" i="1"/>
  <c r="F710" i="1" s="1"/>
  <c r="E709" i="1"/>
  <c r="D709" i="1"/>
  <c r="D708" i="1" s="1"/>
  <c r="E706" i="1"/>
  <c r="E705" i="1" s="1"/>
  <c r="E704" i="1" s="1"/>
  <c r="E703" i="1" s="1"/>
  <c r="D706" i="1"/>
  <c r="D705" i="1" s="1"/>
  <c r="D704" i="1" s="1"/>
  <c r="D703" i="1" s="1"/>
  <c r="F703" i="1" s="1"/>
  <c r="F702" i="1"/>
  <c r="E701" i="1"/>
  <c r="E700" i="1" s="1"/>
  <c r="E699" i="1" s="1"/>
  <c r="E698" i="1" s="1"/>
  <c r="D701" i="1"/>
  <c r="D700" i="1" s="1"/>
  <c r="D699" i="1" s="1"/>
  <c r="F699" i="1" s="1"/>
  <c r="E697" i="1"/>
  <c r="E688" i="1" s="1"/>
  <c r="E687" i="1" s="1"/>
  <c r="D696" i="1"/>
  <c r="D695" i="1"/>
  <c r="D694" i="1" s="1"/>
  <c r="E693" i="1"/>
  <c r="E692" i="1" s="1"/>
  <c r="E691" i="1" s="1"/>
  <c r="E690" i="1" s="1"/>
  <c r="D692" i="1"/>
  <c r="D691" i="1" s="1"/>
  <c r="D688" i="1"/>
  <c r="F688" i="1" s="1"/>
  <c r="D687" i="1"/>
  <c r="D686" i="1" s="1"/>
  <c r="F684" i="1"/>
  <c r="F683" i="1"/>
  <c r="E683" i="1"/>
  <c r="E682" i="1" s="1"/>
  <c r="E681" i="1" s="1"/>
  <c r="D683" i="1"/>
  <c r="D682" i="1" s="1"/>
  <c r="F680" i="1"/>
  <c r="E679" i="1"/>
  <c r="E678" i="1" s="1"/>
  <c r="E677" i="1" s="1"/>
  <c r="D679" i="1"/>
  <c r="D678" i="1" s="1"/>
  <c r="F676" i="1"/>
  <c r="E675" i="1"/>
  <c r="D675" i="1"/>
  <c r="D674" i="1" s="1"/>
  <c r="D673" i="1" s="1"/>
  <c r="F674" i="1"/>
  <c r="E674" i="1"/>
  <c r="E673" i="1" s="1"/>
  <c r="F670" i="1"/>
  <c r="E669" i="1"/>
  <c r="E668" i="1" s="1"/>
  <c r="E667" i="1" s="1"/>
  <c r="D669" i="1"/>
  <c r="D668" i="1" s="1"/>
  <c r="D667" i="1" s="1"/>
  <c r="D666" i="1"/>
  <c r="D665" i="1" s="1"/>
  <c r="D664" i="1" s="1"/>
  <c r="E665" i="1"/>
  <c r="E664" i="1" s="1"/>
  <c r="E663" i="1" s="1"/>
  <c r="D663" i="1"/>
  <c r="F663" i="1" s="1"/>
  <c r="F662" i="1"/>
  <c r="E662" i="1"/>
  <c r="E661" i="1" s="1"/>
  <c r="E660" i="1" s="1"/>
  <c r="E659" i="1" s="1"/>
  <c r="D662" i="1"/>
  <c r="D661" i="1" s="1"/>
  <c r="D657" i="1"/>
  <c r="D656" i="1" s="1"/>
  <c r="D655" i="1" s="1"/>
  <c r="D654" i="1" s="1"/>
  <c r="D651" i="1"/>
  <c r="E650" i="1"/>
  <c r="E649" i="1" s="1"/>
  <c r="E648" i="1" s="1"/>
  <c r="E647" i="1" s="1"/>
  <c r="E646" i="1" s="1"/>
  <c r="F645" i="1"/>
  <c r="E644" i="1"/>
  <c r="D644" i="1"/>
  <c r="F644" i="1" s="1"/>
  <c r="E643" i="1"/>
  <c r="E642" i="1" s="1"/>
  <c r="D643" i="1"/>
  <c r="D642" i="1" s="1"/>
  <c r="E641" i="1"/>
  <c r="D641" i="1"/>
  <c r="D636" i="1" s="1"/>
  <c r="E640" i="1"/>
  <c r="D640" i="1"/>
  <c r="D639" i="1" s="1"/>
  <c r="D638" i="1" s="1"/>
  <c r="E639" i="1"/>
  <c r="E638" i="1" s="1"/>
  <c r="E636" i="1"/>
  <c r="E635" i="1" s="1"/>
  <c r="E634" i="1" s="1"/>
  <c r="E633" i="1" s="1"/>
  <c r="F632" i="1"/>
  <c r="E631" i="1"/>
  <c r="D631" i="1"/>
  <c r="F631" i="1" s="1"/>
  <c r="E630" i="1"/>
  <c r="E629" i="1" s="1"/>
  <c r="D630" i="1"/>
  <c r="F628" i="1"/>
  <c r="E627" i="1"/>
  <c r="E626" i="1" s="1"/>
  <c r="E625" i="1" s="1"/>
  <c r="D627" i="1"/>
  <c r="D626" i="1" s="1"/>
  <c r="D625" i="1" s="1"/>
  <c r="F621" i="1"/>
  <c r="E620" i="1"/>
  <c r="E619" i="1" s="1"/>
  <c r="E618" i="1" s="1"/>
  <c r="E617" i="1" s="1"/>
  <c r="D620" i="1"/>
  <c r="D619" i="1" s="1"/>
  <c r="F616" i="1"/>
  <c r="F615" i="1"/>
  <c r="E614" i="1"/>
  <c r="E613" i="1" s="1"/>
  <c r="E612" i="1" s="1"/>
  <c r="D614" i="1"/>
  <c r="E611" i="1"/>
  <c r="D610" i="1"/>
  <c r="D609" i="1" s="1"/>
  <c r="D608" i="1" s="1"/>
  <c r="F607" i="1"/>
  <c r="E607" i="1"/>
  <c r="E606" i="1"/>
  <c r="D606" i="1"/>
  <c r="F606" i="1" s="1"/>
  <c r="E605" i="1"/>
  <c r="D605" i="1"/>
  <c r="D604" i="1" s="1"/>
  <c r="D602" i="1"/>
  <c r="D601" i="1" s="1"/>
  <c r="F598" i="1"/>
  <c r="F597" i="1"/>
  <c r="E596" i="1"/>
  <c r="D596" i="1"/>
  <c r="F596" i="1" s="1"/>
  <c r="E595" i="1"/>
  <c r="E594" i="1" s="1"/>
  <c r="D595" i="1"/>
  <c r="F591" i="1"/>
  <c r="E590" i="1"/>
  <c r="D590" i="1"/>
  <c r="F590" i="1" s="1"/>
  <c r="E589" i="1"/>
  <c r="F588" i="1"/>
  <c r="E587" i="1"/>
  <c r="E586" i="1" s="1"/>
  <c r="E585" i="1" s="1"/>
  <c r="D587" i="1"/>
  <c r="D586" i="1" s="1"/>
  <c r="D585" i="1" s="1"/>
  <c r="F584" i="1"/>
  <c r="E583" i="1"/>
  <c r="D583" i="1"/>
  <c r="F583" i="1" s="1"/>
  <c r="E582" i="1"/>
  <c r="E581" i="1" s="1"/>
  <c r="D582" i="1"/>
  <c r="D581" i="1" s="1"/>
  <c r="E580" i="1"/>
  <c r="F580" i="1" s="1"/>
  <c r="D579" i="1"/>
  <c r="D578" i="1" s="1"/>
  <c r="E576" i="1"/>
  <c r="E575" i="1" s="1"/>
  <c r="D575" i="1"/>
  <c r="D574" i="1" s="1"/>
  <c r="D573" i="1" s="1"/>
  <c r="D571" i="1"/>
  <c r="D570" i="1"/>
  <c r="F567" i="1"/>
  <c r="E566" i="1"/>
  <c r="E565" i="1" s="1"/>
  <c r="E564" i="1" s="1"/>
  <c r="D566" i="1"/>
  <c r="F566" i="1" s="1"/>
  <c r="D565" i="1"/>
  <c r="D564" i="1" s="1"/>
  <c r="F564" i="1" s="1"/>
  <c r="E563" i="1"/>
  <c r="E562" i="1" s="1"/>
  <c r="E561" i="1" s="1"/>
  <c r="E560" i="1" s="1"/>
  <c r="D563" i="1"/>
  <c r="F563" i="1" s="1"/>
  <c r="D562" i="1"/>
  <c r="D561" i="1"/>
  <c r="D560" i="1" s="1"/>
  <c r="E559" i="1"/>
  <c r="E558" i="1" s="1"/>
  <c r="E557" i="1" s="1"/>
  <c r="E556" i="1" s="1"/>
  <c r="D559" i="1"/>
  <c r="D558" i="1" s="1"/>
  <c r="D557" i="1" s="1"/>
  <c r="D556" i="1" s="1"/>
  <c r="F550" i="1"/>
  <c r="E549" i="1"/>
  <c r="E548" i="1" s="1"/>
  <c r="E547" i="1" s="1"/>
  <c r="D549" i="1"/>
  <c r="F546" i="1"/>
  <c r="E545" i="1"/>
  <c r="E544" i="1" s="1"/>
  <c r="E543" i="1" s="1"/>
  <c r="D545" i="1"/>
  <c r="F545" i="1" s="1"/>
  <c r="D544" i="1"/>
  <c r="D543" i="1"/>
  <c r="F540" i="1"/>
  <c r="E539" i="1"/>
  <c r="E538" i="1" s="1"/>
  <c r="D539" i="1"/>
  <c r="D538" i="1"/>
  <c r="D537" i="1"/>
  <c r="F533" i="1"/>
  <c r="E532" i="1"/>
  <c r="E531" i="1" s="1"/>
  <c r="D532" i="1"/>
  <c r="D531" i="1" s="1"/>
  <c r="F530" i="1"/>
  <c r="F529" i="1"/>
  <c r="F528" i="1"/>
  <c r="E527" i="1"/>
  <c r="D527" i="1"/>
  <c r="F527" i="1" s="1"/>
  <c r="F526" i="1"/>
  <c r="E525" i="1"/>
  <c r="D525" i="1"/>
  <c r="F525" i="1" s="1"/>
  <c r="F522" i="1"/>
  <c r="F521" i="1"/>
  <c r="E520" i="1"/>
  <c r="D520" i="1"/>
  <c r="F519" i="1"/>
  <c r="E518" i="1"/>
  <c r="E517" i="1" s="1"/>
  <c r="D518" i="1"/>
  <c r="D517" i="1" s="1"/>
  <c r="F514" i="1"/>
  <c r="E513" i="1"/>
  <c r="D513" i="1"/>
  <c r="F513" i="1" s="1"/>
  <c r="F512" i="1"/>
  <c r="E511" i="1"/>
  <c r="D511" i="1"/>
  <c r="F511" i="1" s="1"/>
  <c r="F509" i="1"/>
  <c r="F508" i="1"/>
  <c r="F507" i="1"/>
  <c r="F506" i="1"/>
  <c r="E506" i="1"/>
  <c r="E505" i="1" s="1"/>
  <c r="D506" i="1"/>
  <c r="D505" i="1" s="1"/>
  <c r="F503" i="1"/>
  <c r="E502" i="1"/>
  <c r="E501" i="1" s="1"/>
  <c r="E500" i="1" s="1"/>
  <c r="D502" i="1"/>
  <c r="D501" i="1" s="1"/>
  <c r="F499" i="1"/>
  <c r="E498" i="1"/>
  <c r="D498" i="1"/>
  <c r="D497" i="1" s="1"/>
  <c r="D496" i="1" s="1"/>
  <c r="E497" i="1"/>
  <c r="E496" i="1" s="1"/>
  <c r="F495" i="1"/>
  <c r="E494" i="1"/>
  <c r="E493" i="1" s="1"/>
  <c r="E492" i="1" s="1"/>
  <c r="D494" i="1"/>
  <c r="F490" i="1"/>
  <c r="F489" i="1"/>
  <c r="E488" i="1"/>
  <c r="D488" i="1"/>
  <c r="E487" i="1"/>
  <c r="E486" i="1" s="1"/>
  <c r="E485" i="1" s="1"/>
  <c r="F484" i="1"/>
  <c r="F483" i="1"/>
  <c r="E483" i="1"/>
  <c r="D483" i="1"/>
  <c r="E482" i="1"/>
  <c r="D482" i="1"/>
  <c r="E481" i="1"/>
  <c r="F480" i="1"/>
  <c r="E479" i="1"/>
  <c r="E478" i="1" s="1"/>
  <c r="D479" i="1"/>
  <c r="F479" i="1" s="1"/>
  <c r="F477" i="1"/>
  <c r="E476" i="1"/>
  <c r="D476" i="1"/>
  <c r="F476" i="1" s="1"/>
  <c r="E475" i="1"/>
  <c r="E473" i="1"/>
  <c r="E472" i="1" s="1"/>
  <c r="E471" i="1" s="1"/>
  <c r="E470" i="1" s="1"/>
  <c r="D473" i="1"/>
  <c r="D472" i="1"/>
  <c r="D471" i="1" s="1"/>
  <c r="D470" i="1"/>
  <c r="E469" i="1"/>
  <c r="E468" i="1" s="1"/>
  <c r="E467" i="1" s="1"/>
  <c r="E466" i="1" s="1"/>
  <c r="D469" i="1"/>
  <c r="D464" i="1" s="1"/>
  <c r="D463" i="1" s="1"/>
  <c r="D462" i="1" s="1"/>
  <c r="D461" i="1" s="1"/>
  <c r="F460" i="1"/>
  <c r="F459" i="1"/>
  <c r="E459" i="1"/>
  <c r="E458" i="1" s="1"/>
  <c r="D459" i="1"/>
  <c r="D458" i="1" s="1"/>
  <c r="F457" i="1"/>
  <c r="E456" i="1"/>
  <c r="D456" i="1"/>
  <c r="F456" i="1" s="1"/>
  <c r="F455" i="1"/>
  <c r="E454" i="1"/>
  <c r="E453" i="1" s="1"/>
  <c r="D454" i="1"/>
  <c r="F454" i="1" s="1"/>
  <c r="F450" i="1"/>
  <c r="E449" i="1"/>
  <c r="E448" i="1" s="1"/>
  <c r="E447" i="1" s="1"/>
  <c r="D449" i="1"/>
  <c r="D448" i="1" s="1"/>
  <c r="F444" i="1"/>
  <c r="E443" i="1"/>
  <c r="D443" i="1"/>
  <c r="D442" i="1" s="1"/>
  <c r="F441" i="1"/>
  <c r="E440" i="1"/>
  <c r="E439" i="1" s="1"/>
  <c r="D440" i="1"/>
  <c r="F436" i="1"/>
  <c r="E435" i="1"/>
  <c r="D435" i="1"/>
  <c r="F435" i="1" s="1"/>
  <c r="E434" i="1"/>
  <c r="E433" i="1" s="1"/>
  <c r="D434" i="1"/>
  <c r="F432" i="1"/>
  <c r="E431" i="1"/>
  <c r="E430" i="1" s="1"/>
  <c r="E429" i="1" s="1"/>
  <c r="D431" i="1"/>
  <c r="D430" i="1" s="1"/>
  <c r="D429" i="1" s="1"/>
  <c r="F428" i="1"/>
  <c r="E427" i="1"/>
  <c r="D427" i="1"/>
  <c r="D426" i="1"/>
  <c r="F424" i="1"/>
  <c r="E423" i="1"/>
  <c r="D423" i="1"/>
  <c r="D422" i="1" s="1"/>
  <c r="F422" i="1" s="1"/>
  <c r="E422" i="1"/>
  <c r="E421" i="1"/>
  <c r="F420" i="1"/>
  <c r="F419" i="1"/>
  <c r="F418" i="1"/>
  <c r="E417" i="1"/>
  <c r="E416" i="1" s="1"/>
  <c r="D417" i="1"/>
  <c r="D416" i="1" s="1"/>
  <c r="F416" i="1" s="1"/>
  <c r="F415" i="1"/>
  <c r="F414" i="1"/>
  <c r="F413" i="1"/>
  <c r="E412" i="1"/>
  <c r="E411" i="1" s="1"/>
  <c r="D412" i="1"/>
  <c r="F410" i="1"/>
  <c r="F409" i="1"/>
  <c r="F408" i="1"/>
  <c r="E407" i="1"/>
  <c r="D407" i="1"/>
  <c r="D406" i="1"/>
  <c r="F404" i="1"/>
  <c r="F403" i="1"/>
  <c r="E402" i="1"/>
  <c r="E401" i="1" s="1"/>
  <c r="E400" i="1" s="1"/>
  <c r="D402" i="1"/>
  <c r="F399" i="1"/>
  <c r="F398" i="1"/>
  <c r="E397" i="1"/>
  <c r="E396" i="1" s="1"/>
  <c r="E395" i="1" s="1"/>
  <c r="D397" i="1"/>
  <c r="D396" i="1" s="1"/>
  <c r="D395" i="1" s="1"/>
  <c r="F395" i="1" s="1"/>
  <c r="F394" i="1"/>
  <c r="D394" i="1"/>
  <c r="D393" i="1" s="1"/>
  <c r="D392" i="1" s="1"/>
  <c r="E393" i="1"/>
  <c r="E392" i="1" s="1"/>
  <c r="F391" i="1"/>
  <c r="E390" i="1"/>
  <c r="D390" i="1"/>
  <c r="D389" i="1"/>
  <c r="F387" i="1"/>
  <c r="E386" i="1"/>
  <c r="D386" i="1"/>
  <c r="E385" i="1"/>
  <c r="D385" i="1"/>
  <c r="D384" i="1" s="1"/>
  <c r="E384" i="1"/>
  <c r="F381" i="1"/>
  <c r="F380" i="1"/>
  <c r="E379" i="1"/>
  <c r="E378" i="1" s="1"/>
  <c r="D379" i="1"/>
  <c r="F379" i="1" s="1"/>
  <c r="F377" i="1"/>
  <c r="F376" i="1"/>
  <c r="F375" i="1"/>
  <c r="F374" i="1"/>
  <c r="E373" i="1"/>
  <c r="E372" i="1" s="1"/>
  <c r="D373" i="1"/>
  <c r="F370" i="1"/>
  <c r="F369" i="1"/>
  <c r="E368" i="1"/>
  <c r="D368" i="1"/>
  <c r="D367" i="1"/>
  <c r="F364" i="1"/>
  <c r="F363" i="1"/>
  <c r="E362" i="1"/>
  <c r="F362" i="1" s="1"/>
  <c r="D362" i="1"/>
  <c r="D361" i="1" s="1"/>
  <c r="D360" i="1" s="1"/>
  <c r="F356" i="1"/>
  <c r="E355" i="1"/>
  <c r="D355" i="1"/>
  <c r="D354" i="1" s="1"/>
  <c r="F354" i="1" s="1"/>
  <c r="E354" i="1"/>
  <c r="F353" i="1"/>
  <c r="F352" i="1"/>
  <c r="F351" i="1"/>
  <c r="E350" i="1"/>
  <c r="D350" i="1"/>
  <c r="E349" i="1"/>
  <c r="E348" i="1" s="1"/>
  <c r="D349" i="1"/>
  <c r="F347" i="1"/>
  <c r="E346" i="1"/>
  <c r="E345" i="1" s="1"/>
  <c r="D346" i="1"/>
  <c r="F346" i="1" s="1"/>
  <c r="D345" i="1"/>
  <c r="F344" i="1"/>
  <c r="F343" i="1"/>
  <c r="E342" i="1"/>
  <c r="E341" i="1" s="1"/>
  <c r="D342" i="1"/>
  <c r="D341" i="1"/>
  <c r="F340" i="1"/>
  <c r="F339" i="1"/>
  <c r="F338" i="1"/>
  <c r="E337" i="1"/>
  <c r="D337" i="1"/>
  <c r="F337" i="1" s="1"/>
  <c r="E336" i="1"/>
  <c r="E335" i="1" s="1"/>
  <c r="F333" i="1"/>
  <c r="F332" i="1"/>
  <c r="E331" i="1"/>
  <c r="D331" i="1"/>
  <c r="F331" i="1" s="1"/>
  <c r="E330" i="1"/>
  <c r="F329" i="1"/>
  <c r="F328" i="1"/>
  <c r="E328" i="1"/>
  <c r="E327" i="1" s="1"/>
  <c r="D328" i="1"/>
  <c r="D327" i="1" s="1"/>
  <c r="F326" i="1"/>
  <c r="F325" i="1"/>
  <c r="F324" i="1"/>
  <c r="E323" i="1"/>
  <c r="E322" i="1" s="1"/>
  <c r="D323" i="1"/>
  <c r="F321" i="1"/>
  <c r="F320" i="1"/>
  <c r="F319" i="1"/>
  <c r="E318" i="1"/>
  <c r="E317" i="1" s="1"/>
  <c r="D318" i="1"/>
  <c r="F318" i="1" s="1"/>
  <c r="D317" i="1"/>
  <c r="F313" i="1"/>
  <c r="E312" i="1"/>
  <c r="E311" i="1" s="1"/>
  <c r="E310" i="1" s="1"/>
  <c r="D312" i="1"/>
  <c r="F312" i="1" s="1"/>
  <c r="F309" i="1"/>
  <c r="E308" i="1"/>
  <c r="E307" i="1" s="1"/>
  <c r="E306" i="1" s="1"/>
  <c r="D308" i="1"/>
  <c r="D307" i="1" s="1"/>
  <c r="F304" i="1"/>
  <c r="F303" i="1"/>
  <c r="E302" i="1"/>
  <c r="E301" i="1" s="1"/>
  <c r="E300" i="1" s="1"/>
  <c r="D302" i="1"/>
  <c r="D301" i="1" s="1"/>
  <c r="F299" i="1"/>
  <c r="F298" i="1"/>
  <c r="F297" i="1"/>
  <c r="E296" i="1"/>
  <c r="E295" i="1" s="1"/>
  <c r="D296" i="1"/>
  <c r="D295" i="1" s="1"/>
  <c r="F294" i="1"/>
  <c r="F293" i="1"/>
  <c r="F292" i="1"/>
  <c r="F291" i="1"/>
  <c r="E291" i="1"/>
  <c r="E290" i="1" s="1"/>
  <c r="D291" i="1"/>
  <c r="D290" i="1"/>
  <c r="F290" i="1" s="1"/>
  <c r="F289" i="1"/>
  <c r="F288" i="1"/>
  <c r="F287" i="1"/>
  <c r="E286" i="1"/>
  <c r="E285" i="1" s="1"/>
  <c r="D286" i="1"/>
  <c r="F286" i="1" s="1"/>
  <c r="D285" i="1"/>
  <c r="F282" i="1"/>
  <c r="E281" i="1"/>
  <c r="E280" i="1" s="1"/>
  <c r="E279" i="1" s="1"/>
  <c r="D281" i="1"/>
  <c r="F278" i="1"/>
  <c r="E277" i="1"/>
  <c r="E276" i="1" s="1"/>
  <c r="E275" i="1" s="1"/>
  <c r="D277" i="1"/>
  <c r="D276" i="1" s="1"/>
  <c r="F274" i="1"/>
  <c r="E273" i="1"/>
  <c r="D273" i="1"/>
  <c r="E272" i="1"/>
  <c r="E271" i="1"/>
  <c r="F269" i="1"/>
  <c r="E268" i="1"/>
  <c r="E267" i="1" s="1"/>
  <c r="E266" i="1" s="1"/>
  <c r="D268" i="1"/>
  <c r="D267" i="1" s="1"/>
  <c r="F265" i="1"/>
  <c r="E264" i="1"/>
  <c r="D264" i="1"/>
  <c r="F264" i="1" s="1"/>
  <c r="E263" i="1"/>
  <c r="D263" i="1"/>
  <c r="D262" i="1" s="1"/>
  <c r="E262" i="1"/>
  <c r="F261" i="1"/>
  <c r="E260" i="1"/>
  <c r="E259" i="1" s="1"/>
  <c r="E258" i="1" s="1"/>
  <c r="D260" i="1"/>
  <c r="F260" i="1" s="1"/>
  <c r="D259" i="1"/>
  <c r="F256" i="1"/>
  <c r="F255" i="1"/>
  <c r="E255" i="1"/>
  <c r="E254" i="1" s="1"/>
  <c r="E253" i="1" s="1"/>
  <c r="D255" i="1"/>
  <c r="D254" i="1"/>
  <c r="D253" i="1" s="1"/>
  <c r="F253" i="1" s="1"/>
  <c r="F252" i="1"/>
  <c r="E251" i="1"/>
  <c r="D251" i="1"/>
  <c r="F251" i="1" s="1"/>
  <c r="E250" i="1"/>
  <c r="E249" i="1" s="1"/>
  <c r="F248" i="1"/>
  <c r="E247" i="1"/>
  <c r="F247" i="1" s="1"/>
  <c r="D247" i="1"/>
  <c r="D246" i="1"/>
  <c r="D245" i="1" s="1"/>
  <c r="F244" i="1"/>
  <c r="E243" i="1"/>
  <c r="E242" i="1" s="1"/>
  <c r="E241" i="1" s="1"/>
  <c r="D243" i="1"/>
  <c r="F240" i="1"/>
  <c r="E239" i="1"/>
  <c r="E238" i="1" s="1"/>
  <c r="E237" i="1" s="1"/>
  <c r="D239" i="1"/>
  <c r="F239" i="1" s="1"/>
  <c r="D238" i="1"/>
  <c r="D237" i="1" s="1"/>
  <c r="F235" i="1"/>
  <c r="F234" i="1"/>
  <c r="E234" i="1"/>
  <c r="D234" i="1"/>
  <c r="D233" i="1" s="1"/>
  <c r="D232" i="1" s="1"/>
  <c r="E233" i="1"/>
  <c r="E232" i="1" s="1"/>
  <c r="F231" i="1"/>
  <c r="E230" i="1"/>
  <c r="E229" i="1" s="1"/>
  <c r="E228" i="1" s="1"/>
  <c r="D230" i="1"/>
  <c r="D229" i="1" s="1"/>
  <c r="E226" i="1"/>
  <c r="E225" i="1" s="1"/>
  <c r="E224" i="1" s="1"/>
  <c r="E223" i="1" s="1"/>
  <c r="D226" i="1"/>
  <c r="F226" i="1" s="1"/>
  <c r="D225" i="1"/>
  <c r="F225" i="1" s="1"/>
  <c r="D224" i="1"/>
  <c r="F222" i="1"/>
  <c r="F221" i="1"/>
  <c r="E221" i="1"/>
  <c r="D221" i="1"/>
  <c r="D220" i="1" s="1"/>
  <c r="D219" i="1" s="1"/>
  <c r="E220" i="1"/>
  <c r="E219" i="1" s="1"/>
  <c r="F218" i="1"/>
  <c r="E217" i="1"/>
  <c r="E216" i="1" s="1"/>
  <c r="E215" i="1" s="1"/>
  <c r="D217" i="1"/>
  <c r="D216" i="1" s="1"/>
  <c r="D205" i="1"/>
  <c r="E203" i="1"/>
  <c r="E202" i="1" s="1"/>
  <c r="E201" i="1" s="1"/>
  <c r="E200" i="1" s="1"/>
  <c r="D203" i="1"/>
  <c r="F199" i="1"/>
  <c r="E198" i="1"/>
  <c r="D198" i="1"/>
  <c r="F197" i="1"/>
  <c r="F196" i="1"/>
  <c r="F195" i="1"/>
  <c r="E194" i="1"/>
  <c r="D194" i="1"/>
  <c r="F194" i="1" s="1"/>
  <c r="E193" i="1"/>
  <c r="D193" i="1"/>
  <c r="F193" i="1" s="1"/>
  <c r="F192" i="1"/>
  <c r="E191" i="1"/>
  <c r="F191" i="1" s="1"/>
  <c r="D190" i="1"/>
  <c r="F189" i="1"/>
  <c r="E188" i="1"/>
  <c r="D188" i="1"/>
  <c r="F188" i="1" s="1"/>
  <c r="E187" i="1"/>
  <c r="F185" i="1"/>
  <c r="F184" i="1"/>
  <c r="F183" i="1"/>
  <c r="E182" i="1"/>
  <c r="D182" i="1"/>
  <c r="E181" i="1"/>
  <c r="F180" i="1"/>
  <c r="F179" i="1"/>
  <c r="F178" i="1"/>
  <c r="E177" i="1"/>
  <c r="E176" i="1" s="1"/>
  <c r="E175" i="1" s="1"/>
  <c r="D177" i="1"/>
  <c r="D176" i="1" s="1"/>
  <c r="F174" i="1"/>
  <c r="F173" i="1"/>
  <c r="E172" i="1"/>
  <c r="D172" i="1"/>
  <c r="F172" i="1" s="1"/>
  <c r="E171" i="1"/>
  <c r="F169" i="1"/>
  <c r="E168" i="1"/>
  <c r="E167" i="1" s="1"/>
  <c r="D168" i="1"/>
  <c r="D167" i="1" s="1"/>
  <c r="F166" i="1"/>
  <c r="E165" i="1"/>
  <c r="E164" i="1" s="1"/>
  <c r="E163" i="1" s="1"/>
  <c r="D165" i="1"/>
  <c r="D164" i="1"/>
  <c r="F162" i="1"/>
  <c r="F161" i="1"/>
  <c r="F160" i="1"/>
  <c r="F159" i="1"/>
  <c r="E158" i="1"/>
  <c r="D158" i="1"/>
  <c r="F158" i="1" s="1"/>
  <c r="F157" i="1"/>
  <c r="F156" i="1"/>
  <c r="F155" i="1"/>
  <c r="F154" i="1"/>
  <c r="E153" i="1"/>
  <c r="D153" i="1"/>
  <c r="F151" i="1"/>
  <c r="F150" i="1"/>
  <c r="F149" i="1"/>
  <c r="F148" i="1"/>
  <c r="E148" i="1"/>
  <c r="F147" i="1"/>
  <c r="F146" i="1"/>
  <c r="F145" i="1"/>
  <c r="E144" i="1"/>
  <c r="D144" i="1"/>
  <c r="F144" i="1" s="1"/>
  <c r="F143" i="1"/>
  <c r="E143" i="1"/>
  <c r="E141" i="1" s="1"/>
  <c r="E142" i="1"/>
  <c r="D142" i="1"/>
  <c r="F142" i="1" s="1"/>
  <c r="F139" i="1"/>
  <c r="F138" i="1"/>
  <c r="E137" i="1"/>
  <c r="D137" i="1"/>
  <c r="F137" i="1" s="1"/>
  <c r="F136" i="1"/>
  <c r="E136" i="1"/>
  <c r="E135" i="1"/>
  <c r="D135" i="1"/>
  <c r="F130" i="1"/>
  <c r="E130" i="1"/>
  <c r="E129" i="1"/>
  <c r="F129" i="1" s="1"/>
  <c r="F128" i="1"/>
  <c r="E128" i="1"/>
  <c r="E127" i="1"/>
  <c r="D126" i="1"/>
  <c r="D125" i="1" s="1"/>
  <c r="E124" i="1"/>
  <c r="E123" i="1" s="1"/>
  <c r="D124" i="1"/>
  <c r="D123" i="1" s="1"/>
  <c r="F122" i="1"/>
  <c r="E122" i="1"/>
  <c r="E121" i="1" s="1"/>
  <c r="D122" i="1"/>
  <c r="D121" i="1" s="1"/>
  <c r="E120" i="1"/>
  <c r="F120" i="1" s="1"/>
  <c r="E119" i="1"/>
  <c r="D119" i="1"/>
  <c r="F119" i="1" s="1"/>
  <c r="F118" i="1"/>
  <c r="E118" i="1"/>
  <c r="E117" i="1" s="1"/>
  <c r="D118" i="1"/>
  <c r="D117" i="1" s="1"/>
  <c r="F117" i="1" s="1"/>
  <c r="E116" i="1"/>
  <c r="E115" i="1" s="1"/>
  <c r="D116" i="1"/>
  <c r="E114" i="1"/>
  <c r="D114" i="1"/>
  <c r="E113" i="1"/>
  <c r="D113" i="1"/>
  <c r="E112" i="1"/>
  <c r="E111" i="1" s="1"/>
  <c r="D112" i="1"/>
  <c r="E110" i="1"/>
  <c r="E109" i="1" s="1"/>
  <c r="D110" i="1"/>
  <c r="F110" i="1" s="1"/>
  <c r="D109" i="1"/>
  <c r="E108" i="1"/>
  <c r="E107" i="1" s="1"/>
  <c r="D108" i="1"/>
  <c r="E106" i="1"/>
  <c r="E105" i="1" s="1"/>
  <c r="D106" i="1"/>
  <c r="F106" i="1" s="1"/>
  <c r="D105" i="1"/>
  <c r="E104" i="1"/>
  <c r="F104" i="1" s="1"/>
  <c r="E103" i="1"/>
  <c r="E102" i="1" s="1"/>
  <c r="D103" i="1"/>
  <c r="D102" i="1" s="1"/>
  <c r="F102" i="1" s="1"/>
  <c r="E101" i="1"/>
  <c r="F101" i="1" s="1"/>
  <c r="D100" i="1"/>
  <c r="E99" i="1"/>
  <c r="D98" i="1"/>
  <c r="E97" i="1"/>
  <c r="F97" i="1" s="1"/>
  <c r="E96" i="1"/>
  <c r="D96" i="1"/>
  <c r="E94" i="1"/>
  <c r="F94" i="1" s="1"/>
  <c r="E93" i="1"/>
  <c r="D93" i="1"/>
  <c r="E86" i="1"/>
  <c r="E85" i="1" s="1"/>
  <c r="D86" i="1"/>
  <c r="D85" i="1" s="1"/>
  <c r="F85" i="1" s="1"/>
  <c r="F84" i="1"/>
  <c r="E83" i="1"/>
  <c r="D83" i="1"/>
  <c r="F83" i="1" s="1"/>
  <c r="E82" i="1"/>
  <c r="D82" i="1"/>
  <c r="F82" i="1" s="1"/>
  <c r="E81" i="1"/>
  <c r="D81" i="1"/>
  <c r="F81" i="1" s="1"/>
  <c r="F80" i="1"/>
  <c r="E80" i="1"/>
  <c r="D80" i="1"/>
  <c r="D79" i="1" s="1"/>
  <c r="E79" i="1"/>
  <c r="E78" i="1"/>
  <c r="D78" i="1"/>
  <c r="F77" i="1"/>
  <c r="F76" i="1"/>
  <c r="F75" i="1"/>
  <c r="E74" i="1"/>
  <c r="D74" i="1"/>
  <c r="F74" i="1" s="1"/>
  <c r="E73" i="1"/>
  <c r="D73" i="1"/>
  <c r="F72" i="1"/>
  <c r="E71" i="1"/>
  <c r="F71" i="1" s="1"/>
  <c r="D71" i="1"/>
  <c r="F70" i="1"/>
  <c r="E69" i="1"/>
  <c r="F69" i="1" s="1"/>
  <c r="E68" i="1"/>
  <c r="D68" i="1"/>
  <c r="F67" i="1"/>
  <c r="E67" i="1"/>
  <c r="D66" i="1"/>
  <c r="F63" i="1"/>
  <c r="F62" i="1"/>
  <c r="E61" i="1"/>
  <c r="E59" i="1" s="1"/>
  <c r="D61" i="1"/>
  <c r="D59" i="1" s="1"/>
  <c r="F59" i="1" s="1"/>
  <c r="F60" i="1"/>
  <c r="F58" i="1"/>
  <c r="E57" i="1"/>
  <c r="F57" i="1" s="1"/>
  <c r="F56" i="1"/>
  <c r="F55" i="1"/>
  <c r="E54" i="1"/>
  <c r="E52" i="1" s="1"/>
  <c r="D54" i="1"/>
  <c r="F54" i="1" s="1"/>
  <c r="F53" i="1"/>
  <c r="D52" i="1"/>
  <c r="E51" i="1"/>
  <c r="D51" i="1"/>
  <c r="F51" i="1" s="1"/>
  <c r="F50" i="1"/>
  <c r="E49" i="1"/>
  <c r="D49" i="1"/>
  <c r="F49" i="1" s="1"/>
  <c r="E48" i="1"/>
  <c r="D48" i="1"/>
  <c r="E47" i="1"/>
  <c r="E46" i="1"/>
  <c r="D46" i="1"/>
  <c r="E45" i="1"/>
  <c r="D45" i="1"/>
  <c r="F45" i="1" s="1"/>
  <c r="E43" i="1"/>
  <c r="F43" i="1" s="1"/>
  <c r="E42" i="1"/>
  <c r="D42" i="1"/>
  <c r="F42" i="1" s="1"/>
  <c r="E41" i="1"/>
  <c r="D41" i="1"/>
  <c r="F41" i="1" s="1"/>
  <c r="F40" i="1"/>
  <c r="E39" i="1"/>
  <c r="F39" i="1" s="1"/>
  <c r="E38" i="1"/>
  <c r="F38" i="1" s="1"/>
  <c r="E37" i="1"/>
  <c r="D37" i="1"/>
  <c r="D35" i="1" s="1"/>
  <c r="E36" i="1"/>
  <c r="F34" i="1"/>
  <c r="E33" i="1"/>
  <c r="D33" i="1"/>
  <c r="E30" i="1"/>
  <c r="E29" i="1" s="1"/>
  <c r="D29" i="1"/>
  <c r="D28" i="1" s="1"/>
  <c r="F26" i="1"/>
  <c r="E25" i="1"/>
  <c r="D25" i="1"/>
  <c r="F24" i="1"/>
  <c r="E23" i="1"/>
  <c r="D23" i="1"/>
  <c r="E22" i="1"/>
  <c r="F22" i="1" s="1"/>
  <c r="E21" i="1"/>
  <c r="D21" i="1"/>
  <c r="E20" i="1"/>
  <c r="E19" i="1" s="1"/>
  <c r="D19" i="1"/>
  <c r="D18" i="1" s="1"/>
  <c r="D17" i="1" s="1"/>
  <c r="F327" i="1" l="1"/>
  <c r="F448" i="1"/>
  <c r="D447" i="1"/>
  <c r="D446" i="1" s="1"/>
  <c r="F505" i="1"/>
  <c r="F585" i="1"/>
  <c r="F990" i="1"/>
  <c r="E989" i="1"/>
  <c r="F276" i="1"/>
  <c r="D275" i="1"/>
  <c r="F285" i="1"/>
  <c r="E284" i="1"/>
  <c r="D882" i="1"/>
  <c r="F882" i="1" s="1"/>
  <c r="F883" i="1"/>
  <c r="F619" i="1"/>
  <c r="D618" i="1"/>
  <c r="E371" i="1"/>
  <c r="F531" i="1"/>
  <c r="F556" i="1"/>
  <c r="F642" i="1"/>
  <c r="F661" i="1"/>
  <c r="D660" i="1"/>
  <c r="D659" i="1" s="1"/>
  <c r="F1073" i="1"/>
  <c r="F307" i="1"/>
  <c r="D306" i="1"/>
  <c r="F306" i="1" s="1"/>
  <c r="F682" i="1"/>
  <c r="D681" i="1"/>
  <c r="F681" i="1" s="1"/>
  <c r="F961" i="1"/>
  <c r="E960" i="1"/>
  <c r="F960" i="1" s="1"/>
  <c r="F21" i="1"/>
  <c r="F78" i="1"/>
  <c r="F114" i="1"/>
  <c r="F165" i="1"/>
  <c r="F198" i="1"/>
  <c r="F263" i="1"/>
  <c r="E270" i="1"/>
  <c r="F449" i="1"/>
  <c r="F470" i="1"/>
  <c r="F587" i="1"/>
  <c r="F620" i="1"/>
  <c r="F673" i="1"/>
  <c r="F701" i="1"/>
  <c r="F714" i="1"/>
  <c r="F800" i="1"/>
  <c r="F861" i="1"/>
  <c r="F929" i="1"/>
  <c r="F935" i="1"/>
  <c r="F942" i="1"/>
  <c r="D949" i="1"/>
  <c r="F37" i="1"/>
  <c r="D47" i="1"/>
  <c r="F47" i="1" s="1"/>
  <c r="F52" i="1"/>
  <c r="F233" i="1"/>
  <c r="F277" i="1"/>
  <c r="F308" i="1"/>
  <c r="E316" i="1"/>
  <c r="E315" i="1" s="1"/>
  <c r="F350" i="1"/>
  <c r="F355" i="1"/>
  <c r="F471" i="1"/>
  <c r="F562" i="1"/>
  <c r="F576" i="1"/>
  <c r="F743" i="1"/>
  <c r="E759" i="1"/>
  <c r="F776" i="1"/>
  <c r="F801" i="1"/>
  <c r="F838" i="1"/>
  <c r="F1020" i="1"/>
  <c r="F68" i="1"/>
  <c r="F73" i="1"/>
  <c r="E100" i="1"/>
  <c r="F100" i="1" s="1"/>
  <c r="F135" i="1"/>
  <c r="D152" i="1"/>
  <c r="F152" i="1" s="1"/>
  <c r="E246" i="1"/>
  <c r="E245" i="1" s="1"/>
  <c r="E236" i="1" s="1"/>
  <c r="F273" i="1"/>
  <c r="D453" i="1"/>
  <c r="E464" i="1"/>
  <c r="E463" i="1" s="1"/>
  <c r="D478" i="1"/>
  <c r="F478" i="1" s="1"/>
  <c r="D510" i="1"/>
  <c r="D504" i="1" s="1"/>
  <c r="F504" i="1" s="1"/>
  <c r="D524" i="1"/>
  <c r="D523" i="1" s="1"/>
  <c r="E554" i="1"/>
  <c r="E553" i="1" s="1"/>
  <c r="E552" i="1" s="1"/>
  <c r="E551" i="1" s="1"/>
  <c r="D589" i="1"/>
  <c r="F589" i="1" s="1"/>
  <c r="E743" i="1"/>
  <c r="E742" i="1" s="1"/>
  <c r="D865" i="1"/>
  <c r="F930" i="1"/>
  <c r="F936" i="1"/>
  <c r="F943" i="1"/>
  <c r="F966" i="1"/>
  <c r="F995" i="1"/>
  <c r="F23" i="1"/>
  <c r="F48" i="1"/>
  <c r="F79" i="1"/>
  <c r="E152" i="1"/>
  <c r="E257" i="1"/>
  <c r="D311" i="1"/>
  <c r="F385" i="1"/>
  <c r="E516" i="1"/>
  <c r="E515" i="1" s="1"/>
  <c r="E579" i="1"/>
  <c r="E578" i="1" s="1"/>
  <c r="E577" i="1" s="1"/>
  <c r="F626" i="1"/>
  <c r="F641" i="1"/>
  <c r="F692" i="1"/>
  <c r="F772" i="1"/>
  <c r="F794" i="1"/>
  <c r="F839" i="1"/>
  <c r="E864" i="1"/>
  <c r="E874" i="1"/>
  <c r="F918" i="1"/>
  <c r="F931" i="1"/>
  <c r="D981" i="1"/>
  <c r="E995" i="1"/>
  <c r="E994" i="1" s="1"/>
  <c r="E993" i="1" s="1"/>
  <c r="D64" i="1"/>
  <c r="F112" i="1"/>
  <c r="E134" i="1"/>
  <c r="E133" i="1" s="1"/>
  <c r="F341" i="1"/>
  <c r="E510" i="1"/>
  <c r="E504" i="1" s="1"/>
  <c r="E491" i="1" s="1"/>
  <c r="E524" i="1"/>
  <c r="E523" i="1" s="1"/>
  <c r="F625" i="1"/>
  <c r="E44" i="1"/>
  <c r="E95" i="1"/>
  <c r="F121" i="1"/>
  <c r="E140" i="1"/>
  <c r="F168" i="1"/>
  <c r="F203" i="1"/>
  <c r="F342" i="1"/>
  <c r="F373" i="1"/>
  <c r="F386" i="1"/>
  <c r="F393" i="1"/>
  <c r="F402" i="1"/>
  <c r="F423" i="1"/>
  <c r="D468" i="1"/>
  <c r="D475" i="1"/>
  <c r="F502" i="1"/>
  <c r="F520" i="1"/>
  <c r="F539" i="1"/>
  <c r="F679" i="1"/>
  <c r="F693" i="1"/>
  <c r="F740" i="1"/>
  <c r="F798" i="1"/>
  <c r="F835" i="1"/>
  <c r="F876" i="1"/>
  <c r="F916" i="1"/>
  <c r="E949" i="1"/>
  <c r="E948" i="1" s="1"/>
  <c r="E947" i="1" s="1"/>
  <c r="E946" i="1" s="1"/>
  <c r="F962" i="1"/>
  <c r="E979" i="1"/>
  <c r="E978" i="1" s="1"/>
  <c r="F989" i="1"/>
  <c r="D1006" i="1"/>
  <c r="D1005" i="1" s="1"/>
  <c r="F1014" i="1"/>
  <c r="F1025" i="1"/>
  <c r="F25" i="1"/>
  <c r="E35" i="1"/>
  <c r="F35" i="1" s="1"/>
  <c r="F46" i="1"/>
  <c r="F103" i="1"/>
  <c r="F113" i="1"/>
  <c r="F302" i="1"/>
  <c r="F323" i="1"/>
  <c r="F349" i="1"/>
  <c r="F392" i="1"/>
  <c r="E474" i="1"/>
  <c r="F532" i="1"/>
  <c r="F643" i="1"/>
  <c r="D766" i="1"/>
  <c r="F785" i="1"/>
  <c r="F815" i="1"/>
  <c r="F860" i="1"/>
  <c r="F884" i="1"/>
  <c r="D891" i="1"/>
  <c r="D890" i="1" s="1"/>
  <c r="D922" i="1"/>
  <c r="F922" i="1" s="1"/>
  <c r="D1000" i="1"/>
  <c r="F1045" i="1"/>
  <c r="D27" i="1"/>
  <c r="E28" i="1"/>
  <c r="E27" i="1" s="1"/>
  <c r="F29" i="1"/>
  <c r="E18" i="1"/>
  <c r="E17" i="1" s="1"/>
  <c r="F19" i="1"/>
  <c r="D95" i="1"/>
  <c r="F96" i="1"/>
  <c r="D115" i="1"/>
  <c r="F115" i="1" s="1"/>
  <c r="F116" i="1"/>
  <c r="F176" i="1"/>
  <c r="D223" i="1"/>
  <c r="F223" i="1" s="1"/>
  <c r="F224" i="1"/>
  <c r="E367" i="1"/>
  <c r="E366" i="1" s="1"/>
  <c r="E365" i="1" s="1"/>
  <c r="F368" i="1"/>
  <c r="F384" i="1"/>
  <c r="E389" i="1"/>
  <c r="E388" i="1" s="1"/>
  <c r="F390" i="1"/>
  <c r="D411" i="1"/>
  <c r="F411" i="1" s="1"/>
  <c r="F412" i="1"/>
  <c r="E686" i="1"/>
  <c r="E685" i="1" s="1"/>
  <c r="F687" i="1"/>
  <c r="F36" i="1"/>
  <c r="E66" i="1"/>
  <c r="E64" i="1" s="1"/>
  <c r="F64" i="1" s="1"/>
  <c r="D163" i="1"/>
  <c r="F163" i="1" s="1"/>
  <c r="F164" i="1"/>
  <c r="D433" i="1"/>
  <c r="F433" i="1" s="1"/>
  <c r="F434" i="1"/>
  <c r="F17" i="1"/>
  <c r="F20" i="1"/>
  <c r="F30" i="1"/>
  <c r="D44" i="1"/>
  <c r="F44" i="1" s="1"/>
  <c r="F61" i="1"/>
  <c r="F232" i="1"/>
  <c r="D258" i="1"/>
  <c r="F259" i="1"/>
  <c r="E283" i="1"/>
  <c r="F295" i="1"/>
  <c r="D284" i="1"/>
  <c r="E334" i="1"/>
  <c r="E314" i="1" s="1"/>
  <c r="D474" i="1"/>
  <c r="F474" i="1" s="1"/>
  <c r="F475" i="1"/>
  <c r="D600" i="1"/>
  <c r="D617" i="1"/>
  <c r="F617" i="1" s="1"/>
  <c r="F618" i="1"/>
  <c r="D1049" i="1"/>
  <c r="F1050" i="1"/>
  <c r="F33" i="1"/>
  <c r="D107" i="1"/>
  <c r="F107" i="1" s="1"/>
  <c r="F108" i="1"/>
  <c r="E126" i="1"/>
  <c r="F127" i="1"/>
  <c r="F220" i="1"/>
  <c r="F317" i="1"/>
  <c r="E426" i="1"/>
  <c r="E425" i="1" s="1"/>
  <c r="F427" i="1"/>
  <c r="D92" i="1"/>
  <c r="F93" i="1"/>
  <c r="F219" i="1"/>
  <c r="E406" i="1"/>
  <c r="E405" i="1" s="1"/>
  <c r="F407" i="1"/>
  <c r="E442" i="1"/>
  <c r="F442" i="1" s="1"/>
  <c r="F443" i="1"/>
  <c r="D594" i="1"/>
  <c r="F595" i="1"/>
  <c r="F86" i="1"/>
  <c r="E92" i="1"/>
  <c r="E98" i="1"/>
  <c r="F98" i="1" s="1"/>
  <c r="F99" i="1"/>
  <c r="F109" i="1"/>
  <c r="E132" i="1"/>
  <c r="E131" i="1" s="1"/>
  <c r="F167" i="1"/>
  <c r="F229" i="1"/>
  <c r="D228" i="1"/>
  <c r="F228" i="1" s="1"/>
  <c r="F254" i="1"/>
  <c r="F345" i="1"/>
  <c r="F430" i="1"/>
  <c r="F105" i="1"/>
  <c r="D181" i="1"/>
  <c r="F181" i="1" s="1"/>
  <c r="F182" i="1"/>
  <c r="F237" i="1"/>
  <c r="D242" i="1"/>
  <c r="F243" i="1"/>
  <c r="F262" i="1"/>
  <c r="F267" i="1"/>
  <c r="D266" i="1"/>
  <c r="F266" i="1" s="1"/>
  <c r="E305" i="1"/>
  <c r="D310" i="1"/>
  <c r="F311" i="1"/>
  <c r="F389" i="1"/>
  <c r="F429" i="1"/>
  <c r="F123" i="1"/>
  <c r="F216" i="1"/>
  <c r="D215" i="1"/>
  <c r="F238" i="1"/>
  <c r="F275" i="1"/>
  <c r="D280" i="1"/>
  <c r="F281" i="1"/>
  <c r="D300" i="1"/>
  <c r="F300" i="1" s="1"/>
  <c r="F301" i="1"/>
  <c r="D359" i="1"/>
  <c r="E383" i="1"/>
  <c r="F396" i="1"/>
  <c r="D439" i="1"/>
  <c r="F440" i="1"/>
  <c r="E446" i="1"/>
  <c r="F447" i="1"/>
  <c r="E462" i="1"/>
  <c r="E461" i="1" s="1"/>
  <c r="F461" i="1" s="1"/>
  <c r="F463" i="1"/>
  <c r="D653" i="1"/>
  <c r="D336" i="1"/>
  <c r="D348" i="1"/>
  <c r="F348" i="1" s="1"/>
  <c r="E361" i="1"/>
  <c r="D372" i="1"/>
  <c r="D421" i="1"/>
  <c r="F421" i="1" s="1"/>
  <c r="F469" i="1"/>
  <c r="D487" i="1"/>
  <c r="F488" i="1"/>
  <c r="F538" i="1"/>
  <c r="F575" i="1"/>
  <c r="E574" i="1"/>
  <c r="E573" i="1" s="1"/>
  <c r="F573" i="1" s="1"/>
  <c r="E624" i="1"/>
  <c r="E623" i="1" s="1"/>
  <c r="D677" i="1"/>
  <c r="F678" i="1"/>
  <c r="D690" i="1"/>
  <c r="F690" i="1" s="1"/>
  <c r="F691" i="1"/>
  <c r="E753" i="1"/>
  <c r="E752" i="1" s="1"/>
  <c r="E751" i="1" s="1"/>
  <c r="E749" i="1"/>
  <c r="E748" i="1" s="1"/>
  <c r="E747" i="1" s="1"/>
  <c r="E746" i="1" s="1"/>
  <c r="E731" i="1" s="1"/>
  <c r="E730" i="1" s="1"/>
  <c r="E827" i="1"/>
  <c r="F865" i="1"/>
  <c r="E879" i="1"/>
  <c r="E878" i="1" s="1"/>
  <c r="F880" i="1"/>
  <c r="D111" i="1"/>
  <c r="F111" i="1" s="1"/>
  <c r="F124" i="1"/>
  <c r="D134" i="1"/>
  <c r="D141" i="1"/>
  <c r="F153" i="1"/>
  <c r="D171" i="1"/>
  <c r="F177" i="1"/>
  <c r="D187" i="1"/>
  <c r="E190" i="1"/>
  <c r="E186" i="1" s="1"/>
  <c r="E170" i="1" s="1"/>
  <c r="D202" i="1"/>
  <c r="F217" i="1"/>
  <c r="F230" i="1"/>
  <c r="D250" i="1"/>
  <c r="F268" i="1"/>
  <c r="D272" i="1"/>
  <c r="F296" i="1"/>
  <c r="D322" i="1"/>
  <c r="F322" i="1" s="1"/>
  <c r="D330" i="1"/>
  <c r="F330" i="1" s="1"/>
  <c r="D366" i="1"/>
  <c r="D378" i="1"/>
  <c r="F378" i="1" s="1"/>
  <c r="D388" i="1"/>
  <c r="F388" i="1" s="1"/>
  <c r="D401" i="1"/>
  <c r="D405" i="1"/>
  <c r="F405" i="1" s="1"/>
  <c r="D425" i="1"/>
  <c r="F425" i="1" s="1"/>
  <c r="F497" i="1"/>
  <c r="E536" i="1"/>
  <c r="E535" i="1" s="1"/>
  <c r="E537" i="1"/>
  <c r="F578" i="1"/>
  <c r="D577" i="1"/>
  <c r="F577" i="1" s="1"/>
  <c r="F496" i="1"/>
  <c r="D548" i="1"/>
  <c r="F549" i="1"/>
  <c r="F558" i="1"/>
  <c r="D569" i="1"/>
  <c r="E604" i="1"/>
  <c r="F604" i="1" s="1"/>
  <c r="F605" i="1"/>
  <c r="D635" i="1"/>
  <c r="F636" i="1"/>
  <c r="F659" i="1"/>
  <c r="F665" i="1"/>
  <c r="E672" i="1"/>
  <c r="D698" i="1"/>
  <c r="F698" i="1" s="1"/>
  <c r="F705" i="1"/>
  <c r="F725" i="1"/>
  <c r="E724" i="1"/>
  <c r="E720" i="1"/>
  <c r="D820" i="1"/>
  <c r="F821" i="1"/>
  <c r="F397" i="1"/>
  <c r="F417" i="1"/>
  <c r="F431" i="1"/>
  <c r="D452" i="1"/>
  <c r="F557" i="1"/>
  <c r="E610" i="1"/>
  <c r="E602" i="1"/>
  <c r="E601" i="1" s="1"/>
  <c r="E600" i="1" s="1"/>
  <c r="E599" i="1" s="1"/>
  <c r="E593" i="1" s="1"/>
  <c r="E592" i="1" s="1"/>
  <c r="F611" i="1"/>
  <c r="F664" i="1"/>
  <c r="F704" i="1"/>
  <c r="E452" i="1"/>
  <c r="E451" i="1" s="1"/>
  <c r="F472" i="1"/>
  <c r="F543" i="1"/>
  <c r="D613" i="1"/>
  <c r="F614" i="1"/>
  <c r="D629" i="1"/>
  <c r="F629" i="1" s="1"/>
  <c r="F630" i="1"/>
  <c r="F686" i="1"/>
  <c r="D685" i="1"/>
  <c r="F685" i="1" s="1"/>
  <c r="D805" i="1"/>
  <c r="F806" i="1"/>
  <c r="F453" i="1"/>
  <c r="F458" i="1"/>
  <c r="F462" i="1"/>
  <c r="F464" i="1"/>
  <c r="F473" i="1"/>
  <c r="D481" i="1"/>
  <c r="F481" i="1" s="1"/>
  <c r="F482" i="1"/>
  <c r="D493" i="1"/>
  <c r="F494" i="1"/>
  <c r="F510" i="1"/>
  <c r="F523" i="1"/>
  <c r="F544" i="1"/>
  <c r="F560" i="1"/>
  <c r="F565" i="1"/>
  <c r="F581" i="1"/>
  <c r="F639" i="1"/>
  <c r="F668" i="1"/>
  <c r="E728" i="1"/>
  <c r="F729" i="1"/>
  <c r="D911" i="1"/>
  <c r="D907" i="1"/>
  <c r="F912" i="1"/>
  <c r="D500" i="1"/>
  <c r="F500" i="1" s="1"/>
  <c r="F501" i="1"/>
  <c r="F517" i="1"/>
  <c r="D516" i="1"/>
  <c r="F524" i="1"/>
  <c r="F537" i="1"/>
  <c r="F638" i="1"/>
  <c r="D650" i="1"/>
  <c r="F651" i="1"/>
  <c r="F667" i="1"/>
  <c r="E708" i="1"/>
  <c r="F708" i="1" s="1"/>
  <c r="F709" i="1"/>
  <c r="F732" i="1"/>
  <c r="E696" i="1"/>
  <c r="F754" i="1"/>
  <c r="F771" i="1"/>
  <c r="F792" i="1"/>
  <c r="F814" i="1"/>
  <c r="E818" i="1"/>
  <c r="E808" i="1" s="1"/>
  <c r="D886" i="1"/>
  <c r="D933" i="1"/>
  <c r="F933" i="1" s="1"/>
  <c r="F934" i="1"/>
  <c r="D980" i="1"/>
  <c r="F981" i="1"/>
  <c r="D1018" i="1"/>
  <c r="F1019" i="1"/>
  <c r="D1027" i="1"/>
  <c r="F1027" i="1" s="1"/>
  <c r="F1028" i="1"/>
  <c r="F518" i="1"/>
  <c r="F561" i="1"/>
  <c r="F579" i="1"/>
  <c r="F582" i="1"/>
  <c r="F660" i="1"/>
  <c r="D756" i="1"/>
  <c r="F757" i="1"/>
  <c r="D842" i="1"/>
  <c r="F843" i="1"/>
  <c r="D851" i="1"/>
  <c r="F852" i="1"/>
  <c r="D895" i="1"/>
  <c r="F896" i="1"/>
  <c r="E657" i="1"/>
  <c r="E656" i="1" s="1"/>
  <c r="F666" i="1"/>
  <c r="F697" i="1"/>
  <c r="F874" i="1"/>
  <c r="D964" i="1"/>
  <c r="D1012" i="1"/>
  <c r="F1013" i="1"/>
  <c r="D1039" i="1"/>
  <c r="F1039" i="1" s="1"/>
  <c r="F1040" i="1"/>
  <c r="F498" i="1"/>
  <c r="F559" i="1"/>
  <c r="F574" i="1"/>
  <c r="F586" i="1"/>
  <c r="F627" i="1"/>
  <c r="F640" i="1"/>
  <c r="F657" i="1"/>
  <c r="F669" i="1"/>
  <c r="F675" i="1"/>
  <c r="F700" i="1"/>
  <c r="F706" i="1"/>
  <c r="F713" i="1"/>
  <c r="D747" i="1"/>
  <c r="F748" i="1"/>
  <c r="D765" i="1"/>
  <c r="F766" i="1"/>
  <c r="E779" i="1"/>
  <c r="E778" i="1" s="1"/>
  <c r="D974" i="1"/>
  <c r="F975" i="1"/>
  <c r="D1022" i="1"/>
  <c r="E571" i="1"/>
  <c r="E570" i="1" s="1"/>
  <c r="E569" i="1" s="1"/>
  <c r="E568" i="1" s="1"/>
  <c r="E542" i="1" s="1"/>
  <c r="E541" i="1" s="1"/>
  <c r="F742" i="1"/>
  <c r="F749" i="1"/>
  <c r="F760" i="1"/>
  <c r="E774" i="1"/>
  <c r="E773" i="1" s="1"/>
  <c r="F775" i="1"/>
  <c r="D789" i="1"/>
  <c r="F790" i="1"/>
  <c r="D811" i="1"/>
  <c r="F812" i="1"/>
  <c r="F890" i="1"/>
  <c r="E899" i="1"/>
  <c r="F939" i="1"/>
  <c r="D986" i="1"/>
  <c r="F987" i="1"/>
  <c r="D993" i="1"/>
  <c r="F993" i="1" s="1"/>
  <c r="F994" i="1"/>
  <c r="D999" i="1"/>
  <c r="E1005" i="1"/>
  <c r="F1005" i="1" s="1"/>
  <c r="F1006" i="1"/>
  <c r="E1023" i="1"/>
  <c r="E1022" i="1" s="1"/>
  <c r="E1017" i="1" s="1"/>
  <c r="E1016" i="1" s="1"/>
  <c r="E1009" i="1" s="1"/>
  <c r="F1024" i="1"/>
  <c r="D536" i="1"/>
  <c r="D554" i="1"/>
  <c r="F784" i="1"/>
  <c r="D829" i="1"/>
  <c r="F830" i="1"/>
  <c r="F940" i="1"/>
  <c r="E952" i="1"/>
  <c r="E951" i="1" s="1"/>
  <c r="F953" i="1"/>
  <c r="D1031" i="1"/>
  <c r="F1031" i="1" s="1"/>
  <c r="F1032" i="1"/>
  <c r="F1042" i="1"/>
  <c r="F1051" i="1"/>
  <c r="F733" i="1"/>
  <c r="F753" i="1"/>
  <c r="D870" i="1"/>
  <c r="F871" i="1"/>
  <c r="F879" i="1"/>
  <c r="E997" i="1"/>
  <c r="E1038" i="1"/>
  <c r="E1037" i="1" s="1"/>
  <c r="E1036" i="1" s="1"/>
  <c r="E1035" i="1" s="1"/>
  <c r="D739" i="1"/>
  <c r="D752" i="1"/>
  <c r="D770" i="1"/>
  <c r="D773" i="1"/>
  <c r="D781" i="1"/>
  <c r="D797" i="1"/>
  <c r="D856" i="1"/>
  <c r="D878" i="1"/>
  <c r="F878" i="1" s="1"/>
  <c r="E887" i="1"/>
  <c r="E886" i="1" s="1"/>
  <c r="E873" i="1" s="1"/>
  <c r="D900" i="1"/>
  <c r="F900" i="1" s="1"/>
  <c r="D915" i="1"/>
  <c r="D921" i="1"/>
  <c r="F921" i="1" s="1"/>
  <c r="D938" i="1"/>
  <c r="F938" i="1" s="1"/>
  <c r="D951" i="1"/>
  <c r="E965" i="1"/>
  <c r="E964" i="1" s="1"/>
  <c r="F1043" i="1"/>
  <c r="D825" i="1"/>
  <c r="D834" i="1"/>
  <c r="D847" i="1"/>
  <c r="D957" i="1"/>
  <c r="D969" i="1"/>
  <c r="F822" i="1"/>
  <c r="F954" i="1"/>
  <c r="F991" i="1"/>
  <c r="F1000" i="1"/>
  <c r="F891" i="1"/>
  <c r="F897" i="1"/>
  <c r="E32" i="1" l="1"/>
  <c r="F18" i="1"/>
  <c r="F246" i="1"/>
  <c r="D948" i="1"/>
  <c r="F949" i="1"/>
  <c r="D1038" i="1"/>
  <c r="D1037" i="1" s="1"/>
  <c r="F367" i="1"/>
  <c r="F245" i="1"/>
  <c r="E977" i="1"/>
  <c r="F468" i="1"/>
  <c r="D467" i="1"/>
  <c r="E959" i="1"/>
  <c r="E863" i="1" s="1"/>
  <c r="E777" i="1" s="1"/>
  <c r="F951" i="1"/>
  <c r="F602" i="1"/>
  <c r="E382" i="1"/>
  <c r="F95" i="1"/>
  <c r="D796" i="1"/>
  <c r="F796" i="1" s="1"/>
  <c r="F797" i="1"/>
  <c r="D553" i="1"/>
  <c r="F554" i="1"/>
  <c r="F964" i="1"/>
  <c r="F895" i="1"/>
  <c r="D894" i="1"/>
  <c r="F894" i="1" s="1"/>
  <c r="F756" i="1"/>
  <c r="D755" i="1"/>
  <c r="F755" i="1" s="1"/>
  <c r="F886" i="1"/>
  <c r="F907" i="1"/>
  <c r="D906" i="1"/>
  <c r="F571" i="1"/>
  <c r="F820" i="1"/>
  <c r="D819" i="1"/>
  <c r="D400" i="1"/>
  <c r="F400" i="1" s="1"/>
  <c r="F401" i="1"/>
  <c r="D335" i="1"/>
  <c r="F336" i="1"/>
  <c r="D438" i="1"/>
  <c r="F439" i="1"/>
  <c r="D283" i="1"/>
  <c r="F283" i="1" s="1"/>
  <c r="F284" i="1"/>
  <c r="D968" i="1"/>
  <c r="F968" i="1" s="1"/>
  <c r="F969" i="1"/>
  <c r="D780" i="1"/>
  <c r="F781" i="1"/>
  <c r="D535" i="1"/>
  <c r="F536" i="1"/>
  <c r="F789" i="1"/>
  <c r="D788" i="1"/>
  <c r="F788" i="1" s="1"/>
  <c r="F1022" i="1"/>
  <c r="D1017" i="1"/>
  <c r="F1018" i="1"/>
  <c r="F911" i="1"/>
  <c r="D910" i="1"/>
  <c r="F720" i="1"/>
  <c r="E719" i="1"/>
  <c r="D547" i="1"/>
  <c r="F548" i="1"/>
  <c r="D249" i="1"/>
  <c r="F249" i="1" s="1"/>
  <c r="F250" i="1"/>
  <c r="F171" i="1"/>
  <c r="F310" i="1"/>
  <c r="D305" i="1"/>
  <c r="F305" i="1" s="1"/>
  <c r="E125" i="1"/>
  <c r="F125" i="1" s="1"/>
  <c r="F126" i="1"/>
  <c r="F601" i="1"/>
  <c r="E438" i="1"/>
  <c r="E437" i="1" s="1"/>
  <c r="E31" i="1"/>
  <c r="D956" i="1"/>
  <c r="F957" i="1"/>
  <c r="F773" i="1"/>
  <c r="F870" i="1"/>
  <c r="D869" i="1"/>
  <c r="F986" i="1"/>
  <c r="D985" i="1"/>
  <c r="F1023" i="1"/>
  <c r="F765" i="1"/>
  <c r="D764" i="1"/>
  <c r="D873" i="1"/>
  <c r="F873" i="1" s="1"/>
  <c r="F805" i="1"/>
  <c r="D804" i="1"/>
  <c r="F804" i="1" s="1"/>
  <c r="E723" i="1"/>
  <c r="F724" i="1"/>
  <c r="D634" i="1"/>
  <c r="F635" i="1"/>
  <c r="F677" i="1"/>
  <c r="D672" i="1"/>
  <c r="D486" i="1"/>
  <c r="F487" i="1"/>
  <c r="D652" i="1"/>
  <c r="F215" i="1"/>
  <c r="D90" i="1"/>
  <c r="F92" i="1"/>
  <c r="F600" i="1"/>
  <c r="D599" i="1"/>
  <c r="F599" i="1" s="1"/>
  <c r="D846" i="1"/>
  <c r="F847" i="1"/>
  <c r="D914" i="1"/>
  <c r="F915" i="1"/>
  <c r="D769" i="1"/>
  <c r="F769" i="1" s="1"/>
  <c r="F770" i="1"/>
  <c r="F774" i="1"/>
  <c r="F980" i="1"/>
  <c r="D515" i="1"/>
  <c r="F515" i="1" s="1"/>
  <c r="F516" i="1"/>
  <c r="E727" i="1"/>
  <c r="F728" i="1"/>
  <c r="D612" i="1"/>
  <c r="F612" i="1" s="1"/>
  <c r="F613" i="1"/>
  <c r="F452" i="1"/>
  <c r="D451" i="1"/>
  <c r="F366" i="1"/>
  <c r="D140" i="1"/>
  <c r="F140" i="1" s="1"/>
  <c r="F141" i="1"/>
  <c r="F594" i="1"/>
  <c r="D32" i="1"/>
  <c r="D833" i="1"/>
  <c r="F834" i="1"/>
  <c r="D751" i="1"/>
  <c r="F751" i="1" s="1"/>
  <c r="F752" i="1"/>
  <c r="F747" i="1"/>
  <c r="D746" i="1"/>
  <c r="F746" i="1" s="1"/>
  <c r="F851" i="1"/>
  <c r="E534" i="1"/>
  <c r="D133" i="1"/>
  <c r="F134" i="1"/>
  <c r="D257" i="1"/>
  <c r="F257" i="1" s="1"/>
  <c r="F258" i="1"/>
  <c r="E214" i="1"/>
  <c r="E213" i="1" s="1"/>
  <c r="D824" i="1"/>
  <c r="F825" i="1"/>
  <c r="D738" i="1"/>
  <c r="F739" i="1"/>
  <c r="F974" i="1"/>
  <c r="D973" i="1"/>
  <c r="F973" i="1" s="1"/>
  <c r="F570" i="1"/>
  <c r="D201" i="1"/>
  <c r="F202" i="1"/>
  <c r="D371" i="1"/>
  <c r="F371" i="1" s="1"/>
  <c r="F372" i="1"/>
  <c r="F1038" i="1"/>
  <c r="F829" i="1"/>
  <c r="D828" i="1"/>
  <c r="D998" i="1"/>
  <c r="F999" i="1"/>
  <c r="D1011" i="1"/>
  <c r="F1012" i="1"/>
  <c r="E655" i="1"/>
  <c r="F656" i="1"/>
  <c r="F842" i="1"/>
  <c r="D841" i="1"/>
  <c r="F841" i="1" s="1"/>
  <c r="E695" i="1"/>
  <c r="F696" i="1"/>
  <c r="D649" i="1"/>
  <c r="F650" i="1"/>
  <c r="F493" i="1"/>
  <c r="D492" i="1"/>
  <c r="D568" i="1"/>
  <c r="F568" i="1" s="1"/>
  <c r="F569" i="1"/>
  <c r="E360" i="1"/>
  <c r="F361" i="1"/>
  <c r="F446" i="1"/>
  <c r="E445" i="1"/>
  <c r="D316" i="1"/>
  <c r="F1049" i="1"/>
  <c r="D1048" i="1"/>
  <c r="F406" i="1"/>
  <c r="F66" i="1"/>
  <c r="F190" i="1"/>
  <c r="F27" i="1"/>
  <c r="D855" i="1"/>
  <c r="F855" i="1" s="1"/>
  <c r="F856" i="1"/>
  <c r="F811" i="1"/>
  <c r="D810" i="1"/>
  <c r="F952" i="1"/>
  <c r="F965" i="1"/>
  <c r="F887" i="1"/>
  <c r="E609" i="1"/>
  <c r="F610" i="1"/>
  <c r="D271" i="1"/>
  <c r="F272" i="1"/>
  <c r="D186" i="1"/>
  <c r="F186" i="1" s="1"/>
  <c r="F187" i="1"/>
  <c r="D279" i="1"/>
  <c r="F279" i="1" s="1"/>
  <c r="F280" i="1"/>
  <c r="D241" i="1"/>
  <c r="F242" i="1"/>
  <c r="E90" i="1"/>
  <c r="F426" i="1"/>
  <c r="D383" i="1"/>
  <c r="D175" i="1"/>
  <c r="F175" i="1" s="1"/>
  <c r="F28" i="1"/>
  <c r="E89" i="1" l="1"/>
  <c r="E88" i="1" s="1"/>
  <c r="E87" i="1" s="1"/>
  <c r="E15" i="1" s="1"/>
  <c r="F948" i="1"/>
  <c r="D947" i="1"/>
  <c r="F467" i="1"/>
  <c r="D466" i="1"/>
  <c r="F466" i="1" s="1"/>
  <c r="D593" i="1"/>
  <c r="F241" i="1"/>
  <c r="D236" i="1"/>
  <c r="E608" i="1"/>
  <c r="F608" i="1" s="1"/>
  <c r="F609" i="1"/>
  <c r="F738" i="1"/>
  <c r="D731" i="1"/>
  <c r="D832" i="1"/>
  <c r="F832" i="1" s="1"/>
  <c r="F833" i="1"/>
  <c r="E726" i="1"/>
  <c r="F726" i="1" s="1"/>
  <c r="F727" i="1"/>
  <c r="F764" i="1"/>
  <c r="D759" i="1"/>
  <c r="F759" i="1" s="1"/>
  <c r="D959" i="1"/>
  <c r="F959" i="1" s="1"/>
  <c r="F649" i="1"/>
  <c r="D648" i="1"/>
  <c r="F1011" i="1"/>
  <c r="D1010" i="1"/>
  <c r="F1010" i="1" s="1"/>
  <c r="D850" i="1"/>
  <c r="F850" i="1" s="1"/>
  <c r="D31" i="1"/>
  <c r="F32" i="1"/>
  <c r="D913" i="1"/>
  <c r="F913" i="1" s="1"/>
  <c r="F914" i="1"/>
  <c r="D955" i="1"/>
  <c r="F955" i="1" s="1"/>
  <c r="F956" i="1"/>
  <c r="D909" i="1"/>
  <c r="F909" i="1" s="1"/>
  <c r="F910" i="1"/>
  <c r="F535" i="1"/>
  <c r="F438" i="1"/>
  <c r="D437" i="1"/>
  <c r="F437" i="1" s="1"/>
  <c r="D905" i="1"/>
  <c r="F906" i="1"/>
  <c r="E1078" i="1"/>
  <c r="E1077" i="1" s="1"/>
  <c r="E1076" i="1" s="1"/>
  <c r="E359" i="1"/>
  <c r="F360" i="1"/>
  <c r="D823" i="1"/>
  <c r="F823" i="1" s="1"/>
  <c r="F824" i="1"/>
  <c r="D365" i="1"/>
  <c r="F634" i="1"/>
  <c r="D633" i="1"/>
  <c r="D170" i="1"/>
  <c r="F170" i="1" s="1"/>
  <c r="E694" i="1"/>
  <c r="F694" i="1" s="1"/>
  <c r="F695" i="1"/>
  <c r="F998" i="1"/>
  <c r="D997" i="1"/>
  <c r="D200" i="1"/>
  <c r="F200" i="1" s="1"/>
  <c r="F201" i="1"/>
  <c r="F593" i="1"/>
  <c r="D592" i="1"/>
  <c r="F592" i="1" s="1"/>
  <c r="F451" i="1"/>
  <c r="D845" i="1"/>
  <c r="F845" i="1" s="1"/>
  <c r="F846" i="1"/>
  <c r="D984" i="1"/>
  <c r="F985" i="1"/>
  <c r="D779" i="1"/>
  <c r="F780" i="1"/>
  <c r="F335" i="1"/>
  <c r="D334" i="1"/>
  <c r="F334" i="1" s="1"/>
  <c r="F383" i="1"/>
  <c r="D382" i="1"/>
  <c r="F382" i="1" s="1"/>
  <c r="D809" i="1"/>
  <c r="F810" i="1"/>
  <c r="D1047" i="1"/>
  <c r="F1047" i="1" s="1"/>
  <c r="F1048" i="1"/>
  <c r="F828" i="1"/>
  <c r="E722" i="1"/>
  <c r="F722" i="1" s="1"/>
  <c r="F723" i="1"/>
  <c r="F1017" i="1"/>
  <c r="D1016" i="1"/>
  <c r="F553" i="1"/>
  <c r="D552" i="1"/>
  <c r="F869" i="1"/>
  <c r="D864" i="1"/>
  <c r="D270" i="1"/>
  <c r="F270" i="1" s="1"/>
  <c r="F271" i="1"/>
  <c r="D315" i="1"/>
  <c r="F316" i="1"/>
  <c r="D491" i="1"/>
  <c r="F491" i="1" s="1"/>
  <c r="F492" i="1"/>
  <c r="F486" i="1"/>
  <c r="D485" i="1"/>
  <c r="F485" i="1" s="1"/>
  <c r="F547" i="1"/>
  <c r="D818" i="1"/>
  <c r="F818" i="1" s="1"/>
  <c r="F819" i="1"/>
  <c r="E654" i="1"/>
  <c r="F655" i="1"/>
  <c r="D1036" i="1"/>
  <c r="F1037" i="1"/>
  <c r="D132" i="1"/>
  <c r="F133" i="1"/>
  <c r="F90" i="1"/>
  <c r="D671" i="1"/>
  <c r="F672" i="1"/>
  <c r="E718" i="1"/>
  <c r="F719" i="1"/>
  <c r="D445" i="1" l="1"/>
  <c r="F445" i="1" s="1"/>
  <c r="D946" i="1"/>
  <c r="F946" i="1" s="1"/>
  <c r="F947" i="1"/>
  <c r="F132" i="1"/>
  <c r="D131" i="1"/>
  <c r="F365" i="1"/>
  <c r="D358" i="1"/>
  <c r="F809" i="1"/>
  <c r="F984" i="1"/>
  <c r="D979" i="1"/>
  <c r="D647" i="1"/>
  <c r="F648" i="1"/>
  <c r="F864" i="1"/>
  <c r="F997" i="1"/>
  <c r="F731" i="1"/>
  <c r="D730" i="1"/>
  <c r="F730" i="1" s="1"/>
  <c r="E717" i="1"/>
  <c r="F718" i="1"/>
  <c r="F1036" i="1"/>
  <c r="D1035" i="1"/>
  <c r="F1035" i="1" s="1"/>
  <c r="D827" i="1"/>
  <c r="F827" i="1" s="1"/>
  <c r="E653" i="1"/>
  <c r="F654" i="1"/>
  <c r="E358" i="1"/>
  <c r="F359" i="1"/>
  <c r="F31" i="1"/>
  <c r="D904" i="1"/>
  <c r="F905" i="1"/>
  <c r="D1009" i="1"/>
  <c r="F1009" i="1" s="1"/>
  <c r="F1016" i="1"/>
  <c r="F779" i="1"/>
  <c r="D778" i="1"/>
  <c r="F236" i="1"/>
  <c r="D214" i="1"/>
  <c r="D551" i="1"/>
  <c r="F552" i="1"/>
  <c r="F315" i="1"/>
  <c r="D314" i="1"/>
  <c r="F314" i="1" s="1"/>
  <c r="F633" i="1"/>
  <c r="D624" i="1"/>
  <c r="E1075" i="1"/>
  <c r="E1074" i="1" s="1"/>
  <c r="D978" i="1" l="1"/>
  <c r="F979" i="1"/>
  <c r="E652" i="1"/>
  <c r="F652" i="1" s="1"/>
  <c r="F653" i="1"/>
  <c r="D213" i="1"/>
  <c r="F214" i="1"/>
  <c r="D899" i="1"/>
  <c r="F904" i="1"/>
  <c r="D808" i="1"/>
  <c r="F808" i="1" s="1"/>
  <c r="F358" i="1"/>
  <c r="D623" i="1"/>
  <c r="F624" i="1"/>
  <c r="F551" i="1"/>
  <c r="D542" i="1"/>
  <c r="F778" i="1"/>
  <c r="F131" i="1"/>
  <c r="D89" i="1"/>
  <c r="E716" i="1"/>
  <c r="F717" i="1"/>
  <c r="F647" i="1"/>
  <c r="D646" i="1"/>
  <c r="F646" i="1" s="1"/>
  <c r="D541" i="1" l="1"/>
  <c r="F542" i="1"/>
  <c r="D1059" i="1"/>
  <c r="F899" i="1"/>
  <c r="D863" i="1"/>
  <c r="F863" i="1" s="1"/>
  <c r="F213" i="1"/>
  <c r="F716" i="1"/>
  <c r="E671" i="1"/>
  <c r="D622" i="1"/>
  <c r="F623" i="1"/>
  <c r="D88" i="1"/>
  <c r="F89" i="1"/>
  <c r="F978" i="1"/>
  <c r="D977" i="1"/>
  <c r="F977" i="1" s="1"/>
  <c r="D777" i="1" l="1"/>
  <c r="F777" i="1" s="1"/>
  <c r="F88" i="1"/>
  <c r="D87" i="1"/>
  <c r="E622" i="1"/>
  <c r="E357" i="1" s="1"/>
  <c r="E211" i="1" s="1"/>
  <c r="F671" i="1"/>
  <c r="F541" i="1"/>
  <c r="D534" i="1"/>
  <c r="F534" i="1" l="1"/>
  <c r="D357" i="1"/>
  <c r="F87" i="1"/>
  <c r="D15" i="1"/>
  <c r="E1086" i="1"/>
  <c r="E1085" i="1" s="1"/>
  <c r="E1084" i="1" s="1"/>
  <c r="E1055" i="1"/>
  <c r="F622" i="1"/>
  <c r="E1083" i="1" l="1"/>
  <c r="E1082" i="1" s="1"/>
  <c r="E1071" i="1" s="1"/>
  <c r="E1065" i="1" s="1"/>
  <c r="E1072" i="1"/>
  <c r="F357" i="1"/>
  <c r="D211" i="1"/>
  <c r="D1078" i="1"/>
  <c r="D1077" i="1" s="1"/>
  <c r="D1076" i="1" s="1"/>
  <c r="F15" i="1"/>
  <c r="D1086" i="1" l="1"/>
  <c r="D1085" i="1" s="1"/>
  <c r="D1084" i="1" s="1"/>
  <c r="D1083" i="1" s="1"/>
  <c r="D1082" i="1" s="1"/>
  <c r="F211" i="1"/>
  <c r="D1072" i="1"/>
  <c r="D1075" i="1"/>
  <c r="D1074" i="1" s="1"/>
  <c r="D1071" i="1" l="1"/>
  <c r="F1072" i="1"/>
  <c r="F1071" i="1" l="1"/>
  <c r="D1065" i="1"/>
  <c r="F1065" i="1" l="1"/>
  <c r="D1055" i="1"/>
</calcChain>
</file>

<file path=xl/sharedStrings.xml><?xml version="1.0" encoding="utf-8"?>
<sst xmlns="http://schemas.openxmlformats.org/spreadsheetml/2006/main" count="3166" uniqueCount="1368">
  <si>
    <t xml:space="preserve">         ОТЧЕТ ОБ ИСПОЛНЕНИИ БЮДЖЕТА</t>
  </si>
  <si>
    <t>КОДЫ</t>
  </si>
  <si>
    <t>0503117</t>
  </si>
  <si>
    <r>
      <t xml:space="preserve">                                              </t>
    </r>
    <r>
      <rPr>
        <sz val="10"/>
        <rFont val="Arial Cyr"/>
        <charset val="204"/>
      </rPr>
      <t xml:space="preserve">  на  01</t>
    </r>
    <r>
      <rPr>
        <u/>
        <sz val="10"/>
        <rFont val="Arial Cyr"/>
        <charset val="204"/>
      </rPr>
      <t xml:space="preserve">  января  </t>
    </r>
    <r>
      <rPr>
        <sz val="10"/>
        <rFont val="Arial Cyr"/>
        <charset val="204"/>
      </rPr>
      <t>20</t>
    </r>
    <r>
      <rPr>
        <u/>
        <sz val="10"/>
        <rFont val="Arial Cyr"/>
        <charset val="204"/>
      </rPr>
      <t xml:space="preserve"> 26</t>
    </r>
    <r>
      <rPr>
        <sz val="10"/>
        <rFont val="Arial Cyr"/>
        <charset val="204"/>
      </rPr>
      <t xml:space="preserve"> г.</t>
    </r>
  </si>
  <si>
    <t xml:space="preserve">             Дата</t>
  </si>
  <si>
    <t>Наименование</t>
  </si>
  <si>
    <t xml:space="preserve">          по ОКПО</t>
  </si>
  <si>
    <t xml:space="preserve">финансового органа    </t>
  </si>
  <si>
    <t xml:space="preserve">   Городское поселение "ГОРОД АМУРСК"</t>
  </si>
  <si>
    <t xml:space="preserve">    Глава по БК</t>
  </si>
  <si>
    <t>156</t>
  </si>
  <si>
    <t xml:space="preserve">Наименование публично-правового образования   </t>
  </si>
  <si>
    <t>Муниципальное образование городское поселение "Город Амурск"</t>
  </si>
  <si>
    <t xml:space="preserve">        по ОКТМО</t>
  </si>
  <si>
    <t>08603101</t>
  </si>
  <si>
    <t>Периодичность:  месячная</t>
  </si>
  <si>
    <t xml:space="preserve">Единица измерения:  руб 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</si>
  <si>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</si>
  <si>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</si>
  <si>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</si>
  <si>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</si>
  <si>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</si>
  <si>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</si>
  <si>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</si>
  <si>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</si>
  <si>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</t>
  </si>
  <si>
    <t>3</t>
  </si>
  <si>
    <t>Доходы  бюджета - всего</t>
  </si>
  <si>
    <t>010</t>
  </si>
  <si>
    <t>х</t>
  </si>
  <si>
    <t>в том числе</t>
  </si>
  <si>
    <t xml:space="preserve"> </t>
  </si>
  <si>
    <t xml:space="preserve">  </t>
  </si>
  <si>
    <t>000</t>
  </si>
  <si>
    <t>09900000000000000000</t>
  </si>
  <si>
    <t xml:space="preserve">  НАЛОГОВЫЕ И НЕНАЛОГОВЫЕ ДОХОДЫ</t>
  </si>
  <si>
    <t>09910000000000000000</t>
  </si>
  <si>
    <t>ДОХОДЫ ОТ ОКАЗАНИЯ ПЛАТНЫХ УСЛУГ (РАБОТ) И КОМПЕНСАЦИИ ЗАТРАТ ГОСУДАРСТВА</t>
  </si>
  <si>
    <t>09911300000000000000</t>
  </si>
  <si>
    <t>Прочие доходы от оказания платных услуг (работ) получателями средств бюджетов городских поселений (по МКУК "Городская библиотека")</t>
  </si>
  <si>
    <t>09911301995130003130</t>
  </si>
  <si>
    <t>Прочие неналоговые доходы</t>
  </si>
  <si>
    <t>09911700000000000000</t>
  </si>
  <si>
    <t>Невыясненные поступления, зачисляемые в бюджеты городских поселений</t>
  </si>
  <si>
    <t>09911701050130000180</t>
  </si>
  <si>
    <t>Безвозмездные поступления от негосударственных организаций</t>
  </si>
  <si>
    <t>09920400000000000000</t>
  </si>
  <si>
    <t>Прочие безвозмездные поступления от негосударственных организаций в бюджеты городских поселений (по Отделу культуры)</t>
  </si>
  <si>
    <t>09920405099130001150</t>
  </si>
  <si>
    <t>Прочие безвозмездные поступления</t>
  </si>
  <si>
    <t>09920700000000000000</t>
  </si>
  <si>
    <t>Прочие безвозмездные поступления в бюджеты городских поселений (по  МКУК "Амурский городской краеведческий музей")</t>
  </si>
  <si>
    <t>09920705030130002150</t>
  </si>
  <si>
    <t>11200000000000000000</t>
  </si>
  <si>
    <t>11210000000000000000</t>
  </si>
  <si>
    <t xml:space="preserve">  ШТРАФЫ, САНКЦИИ, ВОЗМЕЩЕНИЕ УЩЕРБА</t>
  </si>
  <si>
    <t>11211600000000000000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</si>
  <si>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</si>
  <si>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11211601074010000140</t>
  </si>
  <si>
    <t>15600000000000000000</t>
  </si>
  <si>
    <t>15610000000000000000</t>
  </si>
  <si>
    <t xml:space="preserve"> ГОСУДАРСТВЕННАЯ ПОШЛИНА</t>
  </si>
  <si>
    <t>15610800000000000000</t>
  </si>
  <si>
    <t xml:space="preserve">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</si>
  <si>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15610807175010000110</t>
  </si>
  <si>
    <t>Доходы от испольвания имущества, находящегося в государственной и муниципальной собственности</t>
  </si>
  <si>
    <t>15611100000000000000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</si>
  <si>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</si>
  <si>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15611105013130000120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</si>
  <si>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</si>
  <si>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15611105025130000120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</si>
  <si>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</si>
  <si>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15611105035130000120</t>
  </si>
  <si>
    <t>Доходы от сдачи в аренду имущества, составляющего казну городских поселений (за исключением земельных участков)</t>
  </si>
  <si>
    <t>15611105075130000120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</si>
  <si>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</si>
  <si>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15611105410130000120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</si>
  <si>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</si>
  <si>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15611109045130000120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</si>
  <si>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 (Реклама)</t>
  </si>
  <si>
    <t>15611109080130001120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</si>
  <si>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 (НТО)</t>
  </si>
  <si>
    <t>15611109080130002120</t>
  </si>
  <si>
    <t>15611300000000000000</t>
  </si>
  <si>
    <t>Доходы, поступающие в порядке возмещения расходов, понесенных в связи с эксплуатацией имущества городских поселений</t>
  </si>
  <si>
    <t>15611302065130000130</t>
  </si>
  <si>
    <t>Прочие доходы от компенсации затрат бюджетов городских поселений</t>
  </si>
  <si>
    <t>15611302995130000130</t>
  </si>
  <si>
    <t>Доходы от продажи материальных и нематериальных активов</t>
  </si>
  <si>
    <t>15611400000000000000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</si>
  <si>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</si>
  <si>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15611402053130000440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</si>
  <si>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</si>
  <si>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15611406013130000430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</si>
  <si>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</si>
  <si>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15611406025130000430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</si>
  <si>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</si>
  <si>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15611413090130000410</t>
  </si>
  <si>
    <t>15611600000000000000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</si>
  <si>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</si>
  <si>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15611601157010000140</t>
  </si>
  <si>
    <t xml:space="preserve">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</si>
  <si>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15611607010130000140</t>
  </si>
  <si>
    <t xml:space="preserve">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</si>
  <si>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15611607090130000140</t>
  </si>
  <si>
    <t xml:space="preserve"> 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</si>
  <si>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15611610031130000140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</si>
  <si>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</si>
  <si>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15611610032130000140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</si>
  <si>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</si>
  <si>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15611611064010000140</t>
  </si>
  <si>
    <t>15611700000000000000</t>
  </si>
  <si>
    <t>15611701050130000180</t>
  </si>
  <si>
    <t>Прочие неналоговые доходы бюджетов городских поселений</t>
  </si>
  <si>
    <t>15611705050130000180</t>
  </si>
  <si>
    <t>Прочие неналоговые доходы бюджетов городских поселений- в части средств,  поступающих на восстановление зеленых насаждений</t>
  </si>
  <si>
    <t>15611705050130001180</t>
  </si>
  <si>
    <t>Прочие неналоговые доходы бюджетов городских поселений-по администрации города</t>
  </si>
  <si>
    <t>15611705050130005180</t>
  </si>
  <si>
    <t>БЕЗВОЗМЕЗДНЫЕ ПОСТУПЛЕНИЯ</t>
  </si>
  <si>
    <t>15620000000000000000</t>
  </si>
  <si>
    <t>в том числе:</t>
  </si>
  <si>
    <t>Безвозмездные поступления от других бюджетов бюджетной системы РФ</t>
  </si>
  <si>
    <t>15620200000000000000</t>
  </si>
  <si>
    <t xml:space="preserve"> Дотации бюджетам городских поселений на выравнивание бюджетной обеспеченности из бюджетов муниципальных районов</t>
  </si>
  <si>
    <t>15620216001130000150</t>
  </si>
  <si>
    <t xml:space="preserve"> Прочие дотации бюджетам городских поселений</t>
  </si>
  <si>
    <t>15620219999130000150</t>
  </si>
  <si>
    <t>Субсидии бюджетам городских поселений на финансовое обеспечение дорожной деятельности опорных населенных пунктов от 20 тысяч человек Дальневосточного федерального округа</t>
  </si>
  <si>
    <t>15620225417130000150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</si>
  <si>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</si>
  <si>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15620225424130000150</t>
  </si>
  <si>
    <t>Субсидии бюджетам городских поселений на реализацию мероприятий по обеспечению жильем молодых семей</t>
  </si>
  <si>
    <t>15620225497130000150</t>
  </si>
  <si>
    <t>Субсидии бюджетам городских поселений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</si>
  <si>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15620225505130000150</t>
  </si>
  <si>
    <t>Субсидии бюджетам городских поселений на реализацию программ формирования современной городской среды</t>
  </si>
  <si>
    <t>15620225555130000150</t>
  </si>
  <si>
    <t>Прочие субсидии бюджетам городских поселений</t>
  </si>
  <si>
    <t>15620229999130000150</t>
  </si>
  <si>
    <t>Субвенции бюджетам городских поселений на выполнение передаваемых полномочий субъектов Российской Федерации</t>
  </si>
  <si>
    <t>15620230024130000150</t>
  </si>
  <si>
    <t>Межбюджетные трансферты, передаваемые бюджетам городских поселений на финансовое обеспечение дорожной деятельности</t>
  </si>
  <si>
    <t>15620245390130000150</t>
  </si>
  <si>
    <t>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</si>
  <si>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15620245424130000150</t>
  </si>
  <si>
    <t>Прочие межбюджетные трансферты, передаваемые бюджетам городских поселений</t>
  </si>
  <si>
    <t>15620249999130000150</t>
  </si>
  <si>
    <t>15620400000000000000</t>
  </si>
  <si>
    <t>Прочие безвозмездные поступления от негосударственных организаций в бюджеты городских поселений (по администрации городского поселения "Город Амурск")</t>
  </si>
  <si>
    <t>15620405099130005150</t>
  </si>
  <si>
    <t xml:space="preserve">Прочие безвозмездные поступления             </t>
  </si>
  <si>
    <t>15620700000000000000</t>
  </si>
  <si>
    <t>Прочие безвозмездные поступления в бюджеты городских поселений (по администрации городского поселения "Город Амурск")</t>
  </si>
  <si>
    <t>15620705030130005150</t>
  </si>
  <si>
    <t xml:space="preserve">  Доходы бюджетов бюджетной системы Российской Федерации от возврата  остатков субсидий, субвенций и иных межбюджетных трансфертов, имеющих целевое назначение, прошлых лет</t>
  </si>
  <si>
    <t>15621800000000000000</t>
  </si>
  <si>
    <t>Доходы бюджетов городских поселений от возврата бюджетными учреждениями остатков субсидий прошлых лет</t>
  </si>
  <si>
    <t>15621805010130000150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</si>
  <si>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</si>
  <si>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15621900000000000000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</si>
  <si>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</si>
  <si>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15621960010130000150</t>
  </si>
  <si>
    <t>18200000000000000000</t>
  </si>
  <si>
    <t>18210000000000000000</t>
  </si>
  <si>
    <t>Налоговые доходы</t>
  </si>
  <si>
    <t>18210000000000000110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</si>
  <si>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</si>
  <si>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</si>
  <si>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</si>
  <si>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</si>
  <si>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</si>
  <si>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</si>
  <si>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</si>
  <si>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</si>
  <si>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</si>
  <si>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</si>
  <si>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</si>
  <si>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</si>
  <si>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</si>
  <si>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</si>
  <si>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</si>
  <si>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</si>
  <si>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</si>
  <si>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18210102021011000110</t>
  </si>
  <si>
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</t>
  </si>
  <si>
    <t>18210102022010000110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</si>
  <si>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</si>
  <si>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</si>
  <si>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</si>
  <si>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</si>
  <si>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</si>
  <si>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18210102030011000110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</si>
  <si>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</si>
  <si>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</si>
  <si>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</si>
  <si>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</si>
  <si>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</si>
  <si>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</si>
  <si>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</si>
  <si>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</si>
  <si>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</si>
  <si>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</si>
  <si>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</si>
  <si>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</si>
  <si>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</si>
  <si>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</si>
  <si>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</si>
  <si>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</si>
  <si>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</si>
  <si>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</si>
  <si>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</si>
  <si>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</si>
  <si>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</si>
  <si>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18210102160011000110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</si>
  <si>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</si>
  <si>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18210102170010000110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</si>
  <si>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</si>
  <si>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18210102170011000110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</si>
  <si>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</si>
  <si>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</si>
  <si>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</si>
  <si>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18210102180011000110</t>
  </si>
  <si>
    <t>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</t>
  </si>
  <si>
    <t>18210102200010000110</t>
  </si>
  <si>
    <t>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</si>
  <si>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</si>
  <si>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</si>
  <si>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</si>
  <si>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</si>
  <si>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</si>
  <si>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</si>
  <si>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</si>
  <si>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</si>
  <si>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18210102230011000110</t>
  </si>
  <si>
    <t xml:space="preserve">  НАЛОГИ НА ТОВАРЫ (РАБОТЫ, УСЛУГИ), РЕАЛИЗУЕМЫЕ НА ТЕРРИТОРИИ РОССИЙСКОЙ ФЕДЕРАЦИИ</t>
  </si>
  <si>
    <t>18210300000000000000</t>
  </si>
  <si>
    <t xml:space="preserve">  Акцизы по подакцизным товарам (продукции), производимым на территории Российской Федерации</t>
  </si>
  <si>
    <t>18210302000010000110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</si>
  <si>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</si>
  <si>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</si>
  <si>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</si>
  <si>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</si>
  <si>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остановленным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</si>
  <si>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</si>
  <si>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</si>
  <si>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</si>
  <si>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Налоги на совокупный доход</t>
  </si>
  <si>
    <t>18210500000000000110</t>
  </si>
  <si>
    <t>Налог, взимаемый в связи с применением упрощенной системы налогообложения</t>
  </si>
  <si>
    <t>18210501000000000110</t>
  </si>
  <si>
    <t>Налог, взимаемый с налогоплательщиков, выбравших в качестве объекта налогообложения  доходы</t>
  </si>
  <si>
    <t>18210501010010000110</t>
  </si>
  <si>
    <t>18210501011010000110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</si>
  <si>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</si>
  <si>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18210501011011000110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</si>
  <si>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</si>
  <si>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18210501011013000110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</si>
  <si>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</si>
  <si>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18210501012010000110</t>
  </si>
  <si>
    <t xml:space="preserve">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</si>
  <si>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18210501012011000110</t>
  </si>
  <si>
    <t xml:space="preserve"> 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</si>
  <si>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18210501012013000110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</si>
  <si>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</si>
  <si>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18210501020010000110</t>
  </si>
  <si>
    <t>18210501021010000110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</si>
  <si>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</si>
  <si>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18210501021011000110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</si>
  <si>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</si>
  <si>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18210501021013000110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</si>
  <si>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</si>
  <si>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18210501022010000110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</si>
  <si>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</si>
  <si>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18210501022011000110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</si>
  <si>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</si>
  <si>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18210501022013000110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</si>
  <si>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(прочие поступления)</t>
  </si>
  <si>
    <t>18210501022014000110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</si>
  <si>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</si>
  <si>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18210501050010000110</t>
  </si>
  <si>
    <t>18210501050011000110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</si>
  <si>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</si>
  <si>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18210501050012100110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</si>
  <si>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года)(прочие поступления)</t>
  </si>
  <si>
    <t>18210501050014000110</t>
  </si>
  <si>
    <t>Единый налог на вмененный доход для отдельных видов деятельности</t>
  </si>
  <si>
    <t>18210502000020000110</t>
  </si>
  <si>
    <t>18210502010020000110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</si>
  <si>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</si>
  <si>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18210502010021000110</t>
  </si>
  <si>
    <t xml:space="preserve">  Единый налог на вмененный доход для отдельных видов деятельности (пени по соответствующему платежу)</t>
  </si>
  <si>
    <t>18210502010022100110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</si>
  <si>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</si>
  <si>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18210502010023000110</t>
  </si>
  <si>
    <t xml:space="preserve">  Единый налог на вмененный доход для отдельных видов деятельности (прочие поступления)</t>
  </si>
  <si>
    <t>18210502010024000110</t>
  </si>
  <si>
    <t>Единый налог на вмененный доход для отдельных видов деятельности (за налоговые периоды, истекшие до 1 января 2011 года)</t>
  </si>
  <si>
    <t>18210502020020000110</t>
  </si>
  <si>
    <t xml:space="preserve">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</si>
  <si>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</si>
  <si>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</si>
  <si>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18210502020022100110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</si>
  <si>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</si>
  <si>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18210502020023000110</t>
  </si>
  <si>
    <t xml:space="preserve"> Единый налог на вмененный доход для отдельных видов деятельности (за налоговые периоды, истекшие до 1 января 2011 года) (прочие поступления)</t>
  </si>
  <si>
    <t>18210502020024000110</t>
  </si>
  <si>
    <t>Единый сельскохозяйственный налог</t>
  </si>
  <si>
    <t>18210503000010000110</t>
  </si>
  <si>
    <t>18210503010010000110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</si>
  <si>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</si>
  <si>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</si>
  <si>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 xml:space="preserve">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</si>
  <si>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18210503010013000110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</si>
  <si>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</si>
  <si>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18210507000010000110</t>
  </si>
  <si>
    <t xml:space="preserve">  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</si>
  <si>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18210507000011000110</t>
  </si>
  <si>
    <t xml:space="preserve"> Налог, взимаемый в связи с применением специального налогового режима "Автоматизированная упрощенная система налогообложения" (суммы денежных взысканий (штрафов) по соответствующему платежу согласно законодательству Российской Федерации)</t>
  </si>
  <si>
    <t>18210507000013000110</t>
  </si>
  <si>
    <t>Налоги на имущество</t>
  </si>
  <si>
    <t>18210600000000000110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</si>
  <si>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</si>
  <si>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</si>
  <si>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</si>
  <si>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</si>
  <si>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</si>
  <si>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18210601030132100110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</si>
  <si>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</si>
  <si>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18210601030133000110</t>
  </si>
  <si>
    <t>Транспортный налог</t>
  </si>
  <si>
    <t>18210604000020000110</t>
  </si>
  <si>
    <t>Транспортный налог с организаций</t>
  </si>
  <si>
    <t>18210604011020000110</t>
  </si>
  <si>
    <t xml:space="preserve">  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</si>
  <si>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18210604011021000110</t>
  </si>
  <si>
    <t xml:space="preserve">  Транспортный налог с организаций (пени по соответствующему платежу)</t>
  </si>
  <si>
    <t>18210604011022100110</t>
  </si>
  <si>
    <t xml:space="preserve">  Транспортный налог с организаций (суммы денежных взысканий (штрафов) по соответствующему платежу согласно законодательству Российской Федерации)</t>
  </si>
  <si>
    <t>18210604011023000110</t>
  </si>
  <si>
    <t xml:space="preserve"> Транспортный налог с организаций (прочие поступления)</t>
  </si>
  <si>
    <t>18210604011024000110</t>
  </si>
  <si>
    <t>Транспортный налог с физических лиц</t>
  </si>
  <si>
    <t>18210604012020000110</t>
  </si>
  <si>
    <t xml:space="preserve">  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</si>
  <si>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18210604012021000110</t>
  </si>
  <si>
    <t xml:space="preserve"> Транспортный налог с физических лиц (пени по соответствующему платежу)</t>
  </si>
  <si>
    <t>18210604012022100110</t>
  </si>
  <si>
    <t xml:space="preserve"> Транспортный налог с физических лиц (суммы денежных взысканий (штрафов) по соответствующему платежу согласно законодательству Российской Федерации)</t>
  </si>
  <si>
    <t>18210604012023000110</t>
  </si>
  <si>
    <t xml:space="preserve"> Транспортный налог с физических лиц (прочие поступления)</t>
  </si>
  <si>
    <t>18210604012024000110</t>
  </si>
  <si>
    <t>Земельный налог</t>
  </si>
  <si>
    <t>18210606000000000110</t>
  </si>
  <si>
    <t xml:space="preserve"> Земельный налог с организаций, обладающих земельным участком, расположенным в границах городских поселений</t>
  </si>
  <si>
    <t>18210606033130000110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</si>
  <si>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</si>
  <si>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18210606033131000110</t>
  </si>
  <si>
    <t>Земельный налог с организаций, обладающих земельным участком,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</si>
  <si>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18210606033133000110</t>
  </si>
  <si>
    <t>Земельный налог с физических лиц, обладающих земельным участком, расположенным в границах городских поселений</t>
  </si>
  <si>
    <t>18210606043130000110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</si>
  <si>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</si>
  <si>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18210606043131000110</t>
  </si>
  <si>
    <t xml:space="preserve">  Земельный налог с физических лиц, обладающих земельным участком,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</si>
  <si>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18210606043133000110</t>
  </si>
  <si>
    <t>ЗАДОЛЖЕННОСТЬ И ПЕРЕРАСЧЕТЫ ПО ОТМЕНЕННЫМ НАЛОГАМ, СБОРАМ И ИНЫМ ОБЯЗАТЕЛЬНЫМ ПЛАТЕЖАМ</t>
  </si>
  <si>
    <t>18210900000000000110</t>
  </si>
  <si>
    <t>Земельный налог (по обязательствам, возникшим до 1 января 2006 года)</t>
  </si>
  <si>
    <t>18210904050000000110</t>
  </si>
  <si>
    <t>Земельный налог (по обязательствам, возникшим до 1 января 2006 года), мобилизуемый на территориях городских поселений (сумма платежа (перерасчеты, недоимка и задолженность по соответствующему платежу, в том числе по отмененному)</t>
  </si>
  <si>
    <t>18210904053131000110</t>
  </si>
  <si>
    <t>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</si>
  <si>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18210904053132100110</t>
  </si>
  <si>
    <t>Земельный налог (по обязательствам, возникшим до 1 января 2006 года), мобилизуемый на территориях городских поселений (суммы денежных взысканий (штрафов) по соответствующему платежу согласно законодательству Российской Федерации)</t>
  </si>
  <si>
    <t>18210904053133000110</t>
  </si>
  <si>
    <t>18211600000000000000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</si>
  <si>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</si>
  <si>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18211610123010131140</t>
  </si>
  <si>
    <t xml:space="preserve">  Комитет Правительства Хабаровского края по обеспечению деятельности мировых судей, государственных нотариусов и административных комиссий</t>
  </si>
  <si>
    <t>87200000000000000000</t>
  </si>
  <si>
    <t>87210000000000000000</t>
  </si>
  <si>
    <t>87211600000000000000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</si>
  <si>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</si>
  <si>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87211602020020000140</t>
  </si>
  <si>
    <t>2.Расходы бюджета</t>
  </si>
  <si>
    <t>Код расхода по бюджетной классификации</t>
  </si>
  <si>
    <t>Расходы бюджета - всего</t>
  </si>
  <si>
    <t>x</t>
  </si>
  <si>
    <t xml:space="preserve">  КУЛЬТУРА, КИНЕМАТОГРАФИЯ</t>
  </si>
  <si>
    <t>200</t>
  </si>
  <si>
    <t>099 0800 0000000000 000</t>
  </si>
  <si>
    <t xml:space="preserve">  Культура</t>
  </si>
  <si>
    <t>099 0801 0000000000 000</t>
  </si>
  <si>
    <t>МП "Развитие внутреннего и въездного туризма в городе Амурске".</t>
  </si>
  <si>
    <t>099 0801 2300000000 000</t>
  </si>
  <si>
    <t>Мероприятия, направленные на создание условий для эффективного развития туристской отрасли в городе Амурске в рамках МП "Развитие внутреннего и въездного туризма в городе Амурске"</t>
  </si>
  <si>
    <t>099 0801 2300100801 000</t>
  </si>
  <si>
    <t xml:space="preserve">  Иные закупки товаров, работ и услуг для обеспечения государственных (муниципальных) нужд</t>
  </si>
  <si>
    <t>099 0801 2300100801 240</t>
  </si>
  <si>
    <t xml:space="preserve">  Прочая закупка товаров, работ и услуг</t>
  </si>
  <si>
    <t>099 0801 2300100801 244</t>
  </si>
  <si>
    <t>Мероприятия туристической (событийной) направленности, включая проведение фестивалей, ярмарок выставок, конкурсов, концертов и иных мероприятий, направленных на привлечение туристов в рамках МП "Развитие внутреннего и въездного туризма в городе Амурске"</t>
  </si>
  <si>
    <t>099 0801 2300400801 000</t>
  </si>
  <si>
    <t xml:space="preserve">  Предоставление субсидий бюджетным, автономным учреждениям и иным некоммерческим организациям</t>
  </si>
  <si>
    <t>099 0801 2300400801 600</t>
  </si>
  <si>
    <t xml:space="preserve">  Субсидии бюджетным учреждениям</t>
  </si>
  <si>
    <t>099 0801 2300400801 610</t>
  </si>
  <si>
    <t xml:space="preserve">  Субсидии бюджетным учреждениям на иные цели</t>
  </si>
  <si>
    <t>099 0801 2300400801 612</t>
  </si>
  <si>
    <t>099 0801 23004SС570 000</t>
  </si>
  <si>
    <t>099 0801 23004SС570 600</t>
  </si>
  <si>
    <t>099 0801 23004SС570 610</t>
  </si>
  <si>
    <t>099 0801 23004SС570 612</t>
  </si>
  <si>
    <t>За счет средств местного бюджета</t>
  </si>
  <si>
    <t>За счет средств краевого бюджета</t>
  </si>
  <si>
    <t>МП "Развитие культурно-досугового обслуживания  населения города Амурска"</t>
  </si>
  <si>
    <t>099 0801 2400000000 000</t>
  </si>
  <si>
    <t>Мероприятия, направленные на удовлетворение населения города качеством и доступностью предоставляемых услуг в рамках МП "Развитие культурно-досугового обслуживания населения города Амурска"</t>
  </si>
  <si>
    <t>099 0801 2400100801 000</t>
  </si>
  <si>
    <t>099 0801 2400100801 600</t>
  </si>
  <si>
    <t>099 0801 2400100801 610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</si>
  <si>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</si>
  <si>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099 0801 2400100801 611</t>
  </si>
  <si>
    <r>
      <t xml:space="preserve">Субсидии на повышение оплаты труда МБУК "Дворец культуры" </t>
    </r>
    <r>
      <rPr>
        <i/>
        <sz val="9"/>
        <rFont val="Times New Roman"/>
        <family val="1"/>
        <charset val="204"/>
      </rPr>
      <t>за счет краевого бюджета</t>
    </r>
    <r>
      <rPr>
        <b/>
        <sz val="9"/>
        <rFont val="Times New Roman"/>
        <family val="1"/>
        <charset val="204"/>
      </rPr>
      <t xml:space="preserve"> (МП "Развитие культурно-досугового обслуживания населения города Амурска")</t>
    </r>
  </si>
  <si>
    <t>099 0801 24001SС020 000</t>
  </si>
  <si>
    <t>099 0801 24001SС020 600</t>
  </si>
  <si>
    <t>099 0801 24001SС020 610</t>
  </si>
  <si>
    <t>099 0801 24001SС020 611</t>
  </si>
  <si>
    <t xml:space="preserve"> Проведение городских мероприятий на стационарных площадках "Праздничный город" в рамках МП "Развитие культурно-досугового обслуживания населения города Амурска" </t>
  </si>
  <si>
    <t>099 0801 2400200801 000</t>
  </si>
  <si>
    <t>099 0801 2400200801 600</t>
  </si>
  <si>
    <t>099 0801 2400200801 610</t>
  </si>
  <si>
    <t>099 0801 2400200801 611</t>
  </si>
  <si>
    <t xml:space="preserve">МБУК "Дворец культуры" субсидии бюджетным учреждениям на иные цели в рамках МП "Развитие культурно-досугового обслуживания населения города Амурска" </t>
  </si>
  <si>
    <t>099 0801 2400300801 000</t>
  </si>
  <si>
    <t>099 0801 2400300801 600</t>
  </si>
  <si>
    <t>099 0801 2400300801 610</t>
  </si>
  <si>
    <t>099 0801 2400300801 612</t>
  </si>
  <si>
    <t xml:space="preserve"> Премирование победителей краевых конкурсов в целях поощрения муниципальных образований края за достижение наилучших значений показателей развития отрасли культуры в 2025 году за счет средств краевого бюджета в рамках МП "Развитие культурно-досугового обслуживания населения города Амурска" </t>
  </si>
  <si>
    <t>099 0801 240030И270 000</t>
  </si>
  <si>
    <t>099 0801 240030И270 600</t>
  </si>
  <si>
    <t>099 0801 240030И270 610</t>
  </si>
  <si>
    <t>099 0801 240030И270 612</t>
  </si>
  <si>
    <t>МП "Зеленая планета"</t>
  </si>
  <si>
    <t>099 0801 2600000000 000</t>
  </si>
  <si>
    <t>Мероприятия, направленные на  обеспечение динамичного развития МБУК "Центр досуга"Ботанический сад" как хранилища генофонда экзотических растений в рамках МП "Зеленая планета"</t>
  </si>
  <si>
    <t>099 0801 2600100801 000</t>
  </si>
  <si>
    <t>099 0801 2600100801 600</t>
  </si>
  <si>
    <t>099 0801 2600100801 610</t>
  </si>
  <si>
    <t>099 0801 2600100801 611</t>
  </si>
  <si>
    <r>
      <t xml:space="preserve">Субсидии на повышение оплаты труда МБУК "Ботанический сад" </t>
    </r>
    <r>
      <rPr>
        <i/>
        <sz val="9"/>
        <rFont val="Times New Roman"/>
        <family val="1"/>
        <charset val="204"/>
      </rPr>
      <t>за счет краевого бюджета</t>
    </r>
    <r>
      <rPr>
        <b/>
        <sz val="9"/>
        <rFont val="Times New Roman"/>
        <family val="1"/>
        <charset val="204"/>
      </rPr>
      <t xml:space="preserve"> (МП "Зеленая планета")</t>
    </r>
  </si>
  <si>
    <t>099 0801 26001SС020 000</t>
  </si>
  <si>
    <t>099 0801 26001SС020 600</t>
  </si>
  <si>
    <t>099 0801 26001SС020 610</t>
  </si>
  <si>
    <t>099 0801 26001SС020 611</t>
  </si>
  <si>
    <t>МБУК "Ботанический сад" субсидии бюджетным учреждениям на иные цели  в рамках МП "Зеленая планета"</t>
  </si>
  <si>
    <t>099 0801 2600200801 000</t>
  </si>
  <si>
    <t>099 0801 2600200801 600</t>
  </si>
  <si>
    <t>099 0801 2600200801 610</t>
  </si>
  <si>
    <t>099 0801 2600200801 612</t>
  </si>
  <si>
    <t xml:space="preserve">МП "Музей в культурно-образовательном пространстве"  </t>
  </si>
  <si>
    <t>099 0801 2700000000 000</t>
  </si>
  <si>
    <t xml:space="preserve">Мероприятия, направленные на обеспечение сохранности музейных ценностей, популяризации музейных фондов, повышение доступности и качества музейных услуг в рамках МП "Музей в культурно-образовательном пространстве"  </t>
  </si>
  <si>
    <t>099 0801 2700100801 000</t>
  </si>
  <si>
    <t>099 0801 2700100801 600</t>
  </si>
  <si>
    <t>099 0801 2700100801 610</t>
  </si>
  <si>
    <t>099 0801 2700100801 611</t>
  </si>
  <si>
    <r>
      <t xml:space="preserve">Субсидии на повышение оплаты труда МБУК "АГКМ" </t>
    </r>
    <r>
      <rPr>
        <i/>
        <sz val="9"/>
        <rFont val="Times New Roman"/>
        <family val="1"/>
        <charset val="204"/>
      </rPr>
      <t>за счет краевого бюджета</t>
    </r>
    <r>
      <rPr>
        <b/>
        <sz val="9"/>
        <rFont val="Times New Roman"/>
        <family val="1"/>
        <charset val="204"/>
      </rPr>
      <t xml:space="preserve"> (МП "Музей в культурно-образовательном пространстве") </t>
    </r>
  </si>
  <si>
    <t>099 0801 27001SС020 000</t>
  </si>
  <si>
    <t>099 0801 27001SС020 600</t>
  </si>
  <si>
    <t>099 0801 27001SС020 610</t>
  </si>
  <si>
    <t>099 0801 27001SС020 611</t>
  </si>
  <si>
    <t xml:space="preserve">МБУК "Амурский городской краеведческий музей" субсидии бюджетным учреждениям на иные цели  в рамках МП "Музей в культурно-образовательном пространстве" </t>
  </si>
  <si>
    <t>099 0801 2700200801 000</t>
  </si>
  <si>
    <t>099 0801 2700200801 600</t>
  </si>
  <si>
    <t>099 0801 2700200801 610</t>
  </si>
  <si>
    <t>099 0801 2700200801 612</t>
  </si>
  <si>
    <t>МП "Библиотека - для всех"</t>
  </si>
  <si>
    <t>099 0801 2800000000 000</t>
  </si>
  <si>
    <t xml:space="preserve">  Мероприятия, направленные на создание условий для свободного доступа жителей города Амурска к информации и знаниям для развития творческой активности и информационной обеспеченности, а так же содействие адаптации в обществе, социокультурной реабилитации, развитие творческих возможностей людей с ограниченными возможностями в рамках МП "Библиотека - для всех"</t>
  </si>
  <si>
    <t>099 0801 2800100801 000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</si>
  <si>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</si>
  <si>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099 0801 2800100801 100</t>
  </si>
  <si>
    <t xml:space="preserve">  Расходы на выплаты персоналу казенных учреждений</t>
  </si>
  <si>
    <t>099 0801 2800100801 110</t>
  </si>
  <si>
    <t xml:space="preserve">  Фонд оплаты труда учреждений</t>
  </si>
  <si>
    <t>099 0801 2800100801 111</t>
  </si>
  <si>
    <t xml:space="preserve">  Иные выплаты персоналу учреждений, за исключением фонда оплаты труда</t>
  </si>
  <si>
    <t>099 0801 2800100801 112</t>
  </si>
  <si>
    <t xml:space="preserve">   Взносы по обязательному социальному страхованию на выплаты по оплате труда работников и иные выплаты работникам казенных учреждений
</t>
  </si>
  <si>
    <t>099 0801 2800100801 119</t>
  </si>
  <si>
    <t xml:space="preserve">  Закупка товаров, работ и услуг для государственных (муниципальных) нужд</t>
  </si>
  <si>
    <t>099 0801 2800100801 200</t>
  </si>
  <si>
    <t>099 0801 2800100801 240</t>
  </si>
  <si>
    <t xml:space="preserve">  Закупка товаров, работ, услуг в сфере информационно-коммуникационных технологий</t>
  </si>
  <si>
    <t>099 0801 2800100801 242</t>
  </si>
  <si>
    <t>099 0801 2800100801 244</t>
  </si>
  <si>
    <t xml:space="preserve"> Закупка энергетических ресурсов</t>
  </si>
  <si>
    <t>099 0801 2800100801 247</t>
  </si>
  <si>
    <t xml:space="preserve">  Иные бюджетные ассигнования</t>
  </si>
  <si>
    <t>099 0801 2800100801 800</t>
  </si>
  <si>
    <t xml:space="preserve">  Уплата налогов, сборов и иных платежей</t>
  </si>
  <si>
    <t>099 0801 2800100801 850</t>
  </si>
  <si>
    <t xml:space="preserve">  Уплата налога на имущество организаций и земельного налога</t>
  </si>
  <si>
    <t>099 0801 2800100801 851</t>
  </si>
  <si>
    <t xml:space="preserve">  Уплата прочих налогов, сборов</t>
  </si>
  <si>
    <t>099 0801 2800100801 852</t>
  </si>
  <si>
    <t xml:space="preserve">  Уплата иных платежей</t>
  </si>
  <si>
    <t>099 0801 2800100801 853</t>
  </si>
  <si>
    <r>
      <t xml:space="preserve">Субсидии на повышение оплаты труда МКУК "Городская библиотека" </t>
    </r>
    <r>
      <rPr>
        <i/>
        <sz val="9"/>
        <rFont val="Times New Roman"/>
        <family val="1"/>
        <charset val="204"/>
      </rPr>
      <t>за счет краевого бюджета</t>
    </r>
    <r>
      <rPr>
        <b/>
        <sz val="9"/>
        <rFont val="Times New Roman"/>
        <family val="1"/>
        <charset val="204"/>
      </rPr>
      <t xml:space="preserve"> (МП "Библиотека - для всех")</t>
    </r>
  </si>
  <si>
    <t>099 0801 28001SС020 000</t>
  </si>
  <si>
    <t>099 0801 28001SС020 100</t>
  </si>
  <si>
    <t>099 0801 28001SС020 110</t>
  </si>
  <si>
    <t>099 0801 28001SС020 111</t>
  </si>
  <si>
    <t>099 0801 28001SС020 119</t>
  </si>
  <si>
    <t>МП "Создание условий для обеспечения доступности и сохранности ценных и охраняемых растений Дальнего Востока"</t>
  </si>
  <si>
    <t>099 0801 2900000000 000</t>
  </si>
  <si>
    <t xml:space="preserve">Мероприятия, направленные на обеспечение комплексного развития МБУК "Амурский дендрарий" как хранилища генофонда ценных и охраняемых растений Дальнего Востока в рамках МП "Создание условий для обеспечения доступности и сохранности ценных и охраняемых растений Дальнего Востока"  </t>
  </si>
  <si>
    <t>099 0801 2900100801 000</t>
  </si>
  <si>
    <t>099 0801 2900100801 600</t>
  </si>
  <si>
    <t>099 0801 2900100801 610</t>
  </si>
  <si>
    <t>099 0801 2900100801 611</t>
  </si>
  <si>
    <r>
      <t xml:space="preserve">Субсидии на повышение оплаты труда МБУК "Амурский Дендрарий" </t>
    </r>
    <r>
      <rPr>
        <i/>
        <sz val="9"/>
        <rFont val="Times New Roman"/>
        <family val="1"/>
        <charset val="204"/>
      </rPr>
      <t>за счет краевого бюджета</t>
    </r>
    <r>
      <rPr>
        <b/>
        <sz val="9"/>
        <rFont val="Times New Roman"/>
        <family val="1"/>
        <charset val="204"/>
      </rPr>
      <t xml:space="preserve"> (МП "Сохранение условий для обеспечения доступности и сохранности ценных и охраняемых растений Дальнего Востока")</t>
    </r>
  </si>
  <si>
    <t>099 0801 29001SС020 000</t>
  </si>
  <si>
    <t>099 0801 29001SС020 600</t>
  </si>
  <si>
    <t>099 0801 29001SС020 610</t>
  </si>
  <si>
    <t>099 0801 29001SС020 611</t>
  </si>
  <si>
    <t xml:space="preserve">   Другие вопросы в области культуры, кинематографии</t>
  </si>
  <si>
    <t>099 0804 0000000000 000</t>
  </si>
  <si>
    <t>Руководство и управление в сфере установленных функций органов субъектов РФ и органов местного самоуправления</t>
  </si>
  <si>
    <t>099 0804 7300000000 000</t>
  </si>
  <si>
    <t>Руководство и управление в сфере установленных функций органов  субъектов РФ и органов местного самоуправления</t>
  </si>
  <si>
    <t>099 0804 7300000104 000</t>
  </si>
  <si>
    <t>099 0804 7300000104 100</t>
  </si>
  <si>
    <t xml:space="preserve">  Расходы на выплаты персоналу государственных (муниципальных) органов</t>
  </si>
  <si>
    <t>099 0804 7300000104 120</t>
  </si>
  <si>
    <t xml:space="preserve">  Фонд оплаты труда государственных (муниципальных) органов</t>
  </si>
  <si>
    <t>099 0804 7300000104 121</t>
  </si>
  <si>
    <t xml:space="preserve">  Иные выплаты персоналу государственных (муниципальных) органов, за исключением фонда оплаты труда</t>
  </si>
  <si>
    <t>099 0804 7300000104 122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</si>
  <si>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</si>
  <si>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>099 0804 7300000104 129</t>
  </si>
  <si>
    <t>099 0804 7300000104 200</t>
  </si>
  <si>
    <t>099 0804 7300000104 240</t>
  </si>
  <si>
    <t>099 0804 7300000104 242</t>
  </si>
  <si>
    <t>099 0804 7300000104 244</t>
  </si>
  <si>
    <t>099 0804 7300000104 247</t>
  </si>
  <si>
    <t xml:space="preserve">  Социальное обеспечение и иные выплаты населению
</t>
  </si>
  <si>
    <t>099 0804 7300000104 300</t>
  </si>
  <si>
    <t xml:space="preserve">  Социальные выплаты гражданам, кроме публичных нормативных социальных выплат</t>
  </si>
  <si>
    <t>099 0804 7300000104 320</t>
  </si>
  <si>
    <t xml:space="preserve">Пособия, компенсации и иные социальные выплаты гражданам, кроме публичных нормативных обязательств
</t>
  </si>
  <si>
    <t>099 0804 7300000104 321</t>
  </si>
  <si>
    <t>099 0804 7300000104 800</t>
  </si>
  <si>
    <t>099 0804 7300000104 850</t>
  </si>
  <si>
    <t>099 0804 7300000104 851</t>
  </si>
  <si>
    <t>099 0804 7300000104 853</t>
  </si>
  <si>
    <t xml:space="preserve">  Обеспечение деятельности подведомственных учреждений </t>
  </si>
  <si>
    <t>099 0804 8710000804 000</t>
  </si>
  <si>
    <t xml:space="preserve">  Обеспечение деятельности в области бухгалтерского учета (МКУ Централизованная бухгалтерия) </t>
  </si>
  <si>
    <t>099 0804 8710100804 000</t>
  </si>
  <si>
    <t>099 0804 8710100804 100</t>
  </si>
  <si>
    <t>099 0804 8710100804 110</t>
  </si>
  <si>
    <t>099 0804 8710100804 111</t>
  </si>
  <si>
    <t>099 0804 8710100804 112</t>
  </si>
  <si>
    <t>099 0804 8710100804 119</t>
  </si>
  <si>
    <t>099 0804 8710100804 200</t>
  </si>
  <si>
    <t>099 0804 8710100804 240</t>
  </si>
  <si>
    <t>099 0804 8710100804 242</t>
  </si>
  <si>
    <t>099 0804 8710100804 244</t>
  </si>
  <si>
    <t>099 0804 8710100804 800</t>
  </si>
  <si>
    <t>099 0804 8710100804 850</t>
  </si>
  <si>
    <t>099 0804 8710100804 853</t>
  </si>
  <si>
    <t>Обеспечение непрофильных функций муниципальных учреждений, подведомственных отделу культуры</t>
  </si>
  <si>
    <t>099 0804 8710200804 000</t>
  </si>
  <si>
    <t>099 0804 8710200804 100</t>
  </si>
  <si>
    <t>099 0804 8710200804 110</t>
  </si>
  <si>
    <t>099 0804 8710200804 111</t>
  </si>
  <si>
    <t>099 0804 8710200804 112</t>
  </si>
  <si>
    <t>099 0804 8710200804 119</t>
  </si>
  <si>
    <t>099 0804 8710200804 300</t>
  </si>
  <si>
    <t>099 0804 8710200804 320</t>
  </si>
  <si>
    <t>099 0804 8710200804 321</t>
  </si>
  <si>
    <t>Администрация городского поселения "Города Амурска" Амурского муниципального района Хабаровского края</t>
  </si>
  <si>
    <t>156 0000 0000000000 000</t>
  </si>
  <si>
    <t xml:space="preserve">  ОБЩЕГОСУДАРСТВЕННЫЕ ВОПРОСЫ</t>
  </si>
  <si>
    <t>156 0100 0000000000 000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</si>
  <si>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</si>
  <si>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>156 0102 0000000000 000</t>
  </si>
  <si>
    <t xml:space="preserve">Руководство и управление в сфере установленных функций органов государственной власти субъектов РФ и органов местного самоуправления  </t>
  </si>
  <si>
    <t>156 0102 7100000102 000</t>
  </si>
  <si>
    <t>156 0102 7100000102 100</t>
  </si>
  <si>
    <t>156 0102 7100000102 120</t>
  </si>
  <si>
    <t>156 0102 7100000102 121</t>
  </si>
  <si>
    <t>156 0102 7100000102 129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</si>
  <si>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</si>
  <si>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156 0103 0000000000 000</t>
  </si>
  <si>
    <t xml:space="preserve">  Функционирование законодательных (представительных) органов государственной власти (председатель представительного органа муниципального образования)</t>
  </si>
  <si>
    <t>156 0103 7210000103 000</t>
  </si>
  <si>
    <t>156 0103 7210000103 100</t>
  </si>
  <si>
    <t>156 0103 7210000103 120</t>
  </si>
  <si>
    <t>156 0103 7210000103 121</t>
  </si>
  <si>
    <t>156 0103 7210000103 129</t>
  </si>
  <si>
    <t xml:space="preserve">  Функционирование законодательных (представительных) органов государственной власти (расходы на выплату персоналу государственных (муниципальных органов)</t>
  </si>
  <si>
    <t>156 0103 7220000103 000</t>
  </si>
  <si>
    <t>156 0103 7220000103 100</t>
  </si>
  <si>
    <t>156 0103 7220000103 120</t>
  </si>
  <si>
    <t>156 0103 7220000103 121</t>
  </si>
  <si>
    <t>156 0103 7220000103 122</t>
  </si>
  <si>
    <t xml:space="preserve">  Иные выплаты государственных (муниципальных) органов привлекаемым лицам</t>
  </si>
  <si>
    <t>156 0103 7220000103 123</t>
  </si>
  <si>
    <t>156 0103 7220000103 129</t>
  </si>
  <si>
    <t>156 0103 7220000103 200</t>
  </si>
  <si>
    <t>156 0103 7220000103 240</t>
  </si>
  <si>
    <t>156 0103 7220000103 242</t>
  </si>
  <si>
    <t>156 0103 7220000103 244</t>
  </si>
  <si>
    <t xml:space="preserve">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</si>
  <si>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156 0104 0000000000 000</t>
  </si>
  <si>
    <t>МП "Развитие муниципальной службы в городском поселении "Город Амурск"</t>
  </si>
  <si>
    <t>156 0104 0100000000 000</t>
  </si>
  <si>
    <t xml:space="preserve"> Организация получения дополнительного професионального образования муниципальных служащих (профессиональная переподготовка, повышение квалификации) МП "Развитие муниципальной службы в городском поселении "Город Амурск" </t>
  </si>
  <si>
    <t>156 0104 0100100104 000</t>
  </si>
  <si>
    <t>156 0104 0100100104 100</t>
  </si>
  <si>
    <t>156 0104 0100100104 120</t>
  </si>
  <si>
    <t>156 0104 0100100104 122</t>
  </si>
  <si>
    <t>Обеспечение участия муниципальных служащих в обучающих семинарах, семинарах-совещаниях, конференциях, форумах, в том числе в режиме видеоконференций в рамках МП "Развитие муниципальной службы в городском поселении "Город Амурск"</t>
  </si>
  <si>
    <t>156 0104 0100200104 000</t>
  </si>
  <si>
    <t>156 0104 0100200104 100</t>
  </si>
  <si>
    <t>156 0104 0100200104 120</t>
  </si>
  <si>
    <t>156 0104 0100200104 122</t>
  </si>
  <si>
    <t>156 0104 0100200104 200</t>
  </si>
  <si>
    <t>156 0104 0100200104 240</t>
  </si>
  <si>
    <t>156 0104 0100200104 244</t>
  </si>
  <si>
    <t>Создание условий, направленных на повышение престижа муниципальной службы в рамках МП "Развитие муниципальной службы в городском поселении "Город Амурск"</t>
  </si>
  <si>
    <t>156 0104 0100300104 000</t>
  </si>
  <si>
    <t>156 0104 0100300104 100</t>
  </si>
  <si>
    <t>156 0104 0100300104 120</t>
  </si>
  <si>
    <t>156 0104 0100300104 121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</si>
  <si>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муниципальных) органов
</t>
  </si>
  <si>
    <t>156 0104 0100300104 129</t>
  </si>
  <si>
    <t xml:space="preserve">  Грант бюджетам муниципальных образований в целях поощрения достижения лучших показателей по итогам комплексной оценки эффективности деятельности органов местного самоуправления</t>
  </si>
  <si>
    <t>156 0104 7300000030 000</t>
  </si>
  <si>
    <t>156 0104 7300000030 200</t>
  </si>
  <si>
    <t>156 0104 7300000030 240</t>
  </si>
  <si>
    <t>156 0104 7300000030 242</t>
  </si>
  <si>
    <t>156 0104 7300000030 244</t>
  </si>
  <si>
    <t xml:space="preserve">  Руководство и управление в сфере установленных функций органов  субъектов РФ и органов местного самоуправления</t>
  </si>
  <si>
    <t>156 0104 7300000104 000</t>
  </si>
  <si>
    <t>156 0104 7300000104 100</t>
  </si>
  <si>
    <t>156 0104 7300000104 120</t>
  </si>
  <si>
    <t>156 0104 7300000104 121</t>
  </si>
  <si>
    <t>156 0104 7300000104 122</t>
  </si>
  <si>
    <t>156 0104 7300000104 129</t>
  </si>
  <si>
    <t>156 0104 7300000104 200</t>
  </si>
  <si>
    <t>156 0104 7300000104 240</t>
  </si>
  <si>
    <t>156 0104 7300000104 242</t>
  </si>
  <si>
    <t>156 0104 7300000104 244</t>
  </si>
  <si>
    <t>156 0104 7300000104 247</t>
  </si>
  <si>
    <t>156 0104 7300000104 800</t>
  </si>
  <si>
    <t>156 0104 7300000104 850</t>
  </si>
  <si>
    <t>156 0104 7300000104 851</t>
  </si>
  <si>
    <t>156 0104 7300000104 852</t>
  </si>
  <si>
    <t>156 0104 7300000104 853</t>
  </si>
  <si>
    <r>
      <t xml:space="preserve">Субвенции на выполнение полномочий по административным правонарушениям </t>
    </r>
    <r>
      <rPr>
        <sz val="9"/>
        <rFont val="Times New Roman"/>
        <family val="1"/>
        <charset val="204"/>
      </rPr>
      <t>за счет краевого бюджета</t>
    </r>
  </si>
  <si>
    <t xml:space="preserve"> 156 0104 730000П320 000</t>
  </si>
  <si>
    <t>156 0104 730000П320 200</t>
  </si>
  <si>
    <t>156 0104 730000П320 240</t>
  </si>
  <si>
    <t>156 0104 730000П320 244</t>
  </si>
  <si>
    <t>Резервные фонды местных администраций</t>
  </si>
  <si>
    <t>156 0104 8400100111 000</t>
  </si>
  <si>
    <t>156 0104 8400100111 200</t>
  </si>
  <si>
    <t>156 0104 8400100111 240</t>
  </si>
  <si>
    <t>156 0104 8400100111 244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</si>
  <si>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</si>
  <si>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156 0106 0000000000 000</t>
  </si>
  <si>
    <t xml:space="preserve">  Прочие межбюджетные трансферты из бюджетов поселений бюджету муниципального района в сфере финансово-бюджетного надзора в соотвествии с заключенными Соглашениями</t>
  </si>
  <si>
    <t>156 0106 8520000070 000</t>
  </si>
  <si>
    <t xml:space="preserve">  Межбюджетные трансферты</t>
  </si>
  <si>
    <t>156 0106 8520000070 500</t>
  </si>
  <si>
    <t xml:space="preserve">  Иные межбюджетные трансферты</t>
  </si>
  <si>
    <t>156 0106 8520000070 540</t>
  </si>
  <si>
    <t xml:space="preserve">  Обеспечение проведения выборов и референдумов</t>
  </si>
  <si>
    <t>156 0107 0000000000 000</t>
  </si>
  <si>
    <t xml:space="preserve">  Проведение выборов в представительные органы муниципального образования</t>
  </si>
  <si>
    <t>156 0107 7420000107 000</t>
  </si>
  <si>
    <t>156 0107 7420000107 800</t>
  </si>
  <si>
    <t xml:space="preserve">  Специальные расходы</t>
  </si>
  <si>
    <t>156 0107 7420000107 880</t>
  </si>
  <si>
    <t xml:space="preserve">  Резервные фонды</t>
  </si>
  <si>
    <t>156 0111 0000000000 000</t>
  </si>
  <si>
    <t xml:space="preserve">  Резервные фонды местных администраций</t>
  </si>
  <si>
    <t>156 0111 8400000111 000</t>
  </si>
  <si>
    <t xml:space="preserve"> Резервные средства</t>
  </si>
  <si>
    <t>156 0111 8400100111 000</t>
  </si>
  <si>
    <t>156 0111 8400100111 800</t>
  </si>
  <si>
    <t xml:space="preserve">  Резервные средства</t>
  </si>
  <si>
    <t>156 0111 8400100111 870</t>
  </si>
  <si>
    <t>Резервный фонд по чрезвычайным ситуациям муниципального образования "Город Амурск"</t>
  </si>
  <si>
    <t>156 0111 8400200111 000</t>
  </si>
  <si>
    <t>156 0111 8400200111 800</t>
  </si>
  <si>
    <t>156 0111 8400200111 870</t>
  </si>
  <si>
    <t xml:space="preserve">  Другие общегосударственные вопросы</t>
  </si>
  <si>
    <t>156 0113 0000000000 000</t>
  </si>
  <si>
    <t>МП "Предупреждение коррупции в городском поселении "Город Амурск"</t>
  </si>
  <si>
    <t>156 0113 0200000000 000</t>
  </si>
  <si>
    <t xml:space="preserve">  Организационно-практические мероприятия антикоррупционного характера в рамках МП "Предупреждение коррупции в городском поселении "Город Амурск"</t>
  </si>
  <si>
    <t>156 0113 0200100113 000</t>
  </si>
  <si>
    <t>156 0113 0200100113 200</t>
  </si>
  <si>
    <t>156 0113 0200100113 240</t>
  </si>
  <si>
    <t>156 0113 0200100113 244</t>
  </si>
  <si>
    <t xml:space="preserve">МП "Содействие развитию местного самоуправления в городском поселении "Город Амурск"  </t>
  </si>
  <si>
    <t>156 0113 0300000000 000</t>
  </si>
  <si>
    <t xml:space="preserve">Поддержка общественных объединений и некоммерческих организаций в рамках МП "Содействие развитию местного самоуправления в городском поселении "Город Амурск"  </t>
  </si>
  <si>
    <t>156 0113 0300100113 000</t>
  </si>
  <si>
    <t>156 0113 0300100113 200</t>
  </si>
  <si>
    <t>156 0113 0300100113 240</t>
  </si>
  <si>
    <t>156 0113 0300100113 244</t>
  </si>
  <si>
    <t>156 0113 0300100113 300</t>
  </si>
  <si>
    <t xml:space="preserve">  Иные выплаты населению
</t>
  </si>
  <si>
    <t>156 0113 0300100113 360</t>
  </si>
  <si>
    <t>156 0113 0300100113 600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</si>
  <si>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</si>
  <si>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156 0113 0300100113 630</t>
  </si>
  <si>
    <t>Субсидии (гранты в форме субсидий), не подлежащие казначейскому сопровождению</t>
  </si>
  <si>
    <t>156 0113 0300100113 633</t>
  </si>
  <si>
    <t xml:space="preserve">Субсидии на проведение мероприятий по поддержке социально-ориентированных некоммерческих организаций (СОНКО) в рамках МП "Содействие развитию местного самоуправления в городском поселении "Город Амурск"  </t>
  </si>
  <si>
    <t>156 0113 03001SС690 000</t>
  </si>
  <si>
    <t>156 0113 03001SС690 600</t>
  </si>
  <si>
    <t>156 0113 03001SС690 630</t>
  </si>
  <si>
    <t>156 0113 03001SС690 633</t>
  </si>
  <si>
    <t>За счет средств краевого бюджетов</t>
  </si>
  <si>
    <t xml:space="preserve">Мероприятия, направленные на поддержку территориального общественного самоуправления в рамках МП "Содействие развитию местного самоуправления в городском поселении "Город Амурск"  </t>
  </si>
  <si>
    <t>156 0113 0300200113 000</t>
  </si>
  <si>
    <t>156 0113 0300200113 200</t>
  </si>
  <si>
    <t>156 0113 0300200113 240</t>
  </si>
  <si>
    <t>156 0113 0300200113 244</t>
  </si>
  <si>
    <t>156 0113 0300200113 600</t>
  </si>
  <si>
    <t>156 0113 0300200113 630</t>
  </si>
  <si>
    <t>156 0113 0300200113 633</t>
  </si>
  <si>
    <r>
      <t xml:space="preserve">Гранты в форме субсидии, направленные на поддержку территориального общественного самоуправления за счет </t>
    </r>
    <r>
      <rPr>
        <b/>
        <i/>
        <sz val="9"/>
        <rFont val="Times New Roman"/>
        <family val="1"/>
        <charset val="204"/>
      </rPr>
      <t>краевого бюджета</t>
    </r>
    <r>
      <rPr>
        <b/>
        <sz val="9"/>
        <rFont val="Times New Roman"/>
        <family val="1"/>
        <charset val="204"/>
      </rPr>
      <t xml:space="preserve"> в рамках МП "Содействие развитию местного самоуправления в городском поселении "Город Амурск"  </t>
    </r>
  </si>
  <si>
    <t>156 0113 030020И150 000</t>
  </si>
  <si>
    <t>156 0113 030020И150 600</t>
  </si>
  <si>
    <t>156 0113 030020И150 630</t>
  </si>
  <si>
    <t>156 0113 030020И150 633</t>
  </si>
  <si>
    <t>МП "Информатизация городского поселения "Город Амурск"</t>
  </si>
  <si>
    <t>156 0113 0400000000 000</t>
  </si>
  <si>
    <t xml:space="preserve">  Мероприятия, направленные на совершествование информационно-технической инфраструктуры органов местного самоуправления города Амурска в рамках МП "Информатизация городского поселения "Город Амурск"</t>
  </si>
  <si>
    <t>156 0113 0400100113 000</t>
  </si>
  <si>
    <t>156 0113 0400100113 200</t>
  </si>
  <si>
    <t>156 0113 0400100113 240</t>
  </si>
  <si>
    <t>156 0113 0400100113 242</t>
  </si>
  <si>
    <t>156 0113 0400100113 244</t>
  </si>
  <si>
    <t xml:space="preserve">МП "Создание условий для эффективного использования муниципального имущества городского поселения "Город Амурск" </t>
  </si>
  <si>
    <t>156 0113 0500000000 000</t>
  </si>
  <si>
    <t xml:space="preserve"> Мероприятия, направленные на проведение оценки рыночной стоимости объектов муниципального имущества и бесхозяйного имущества в рамках МП "Создание условий для эффективного использования мун.имущества городского поселения "Город Амурск" </t>
  </si>
  <si>
    <t>156 0113 0500100113 000</t>
  </si>
  <si>
    <t>156 0113 0500100113 200</t>
  </si>
  <si>
    <t>156 0113 0500100113 240</t>
  </si>
  <si>
    <t>156 0113 0500100113 244</t>
  </si>
  <si>
    <t xml:space="preserve">  Меропрития, направленные на изготовление технической докуменнтации на объекты муниципальной недвижимости в рамках МП "Создание условий для эффективного использования мун.имущества городского поселения "Город Амурск"</t>
  </si>
  <si>
    <t>156 0113 0500200113 000</t>
  </si>
  <si>
    <t>156 0113 0500200113 200</t>
  </si>
  <si>
    <t>156 0113 0500200113 240</t>
  </si>
  <si>
    <t>156 0113 0500200113 244</t>
  </si>
  <si>
    <t xml:space="preserve">Мероприятия, направленные на проведение кадастровых работ земельных участков в рамках МП "Создание условий для эффективного использования мун.имущества городского поселения "Город Амурск"  </t>
  </si>
  <si>
    <t>156 0113 0500300113 000</t>
  </si>
  <si>
    <t>156 0113 0500300113 200</t>
  </si>
  <si>
    <t>156 0113 0500300113 240</t>
  </si>
  <si>
    <t>156 0113 0500300113 244</t>
  </si>
  <si>
    <t xml:space="preserve">Содержание объектов муниципальной собственности в рамках МП "Создание условий для эффективного использования мун.имущества городского поселения "Город Амурск"  </t>
  </si>
  <si>
    <t>156 0113 0500500113 000</t>
  </si>
  <si>
    <t>156 0113 0500500113 200</t>
  </si>
  <si>
    <t>156 0113 0500500113 240</t>
  </si>
  <si>
    <t>156 0113 0500500113 242</t>
  </si>
  <si>
    <t>156 0113 0500500113 244</t>
  </si>
  <si>
    <t>156 0113 0500500113 247</t>
  </si>
  <si>
    <t>156 0113 0500500113 800</t>
  </si>
  <si>
    <t xml:space="preserve">  Исполнение судебных актов</t>
  </si>
  <si>
    <t>156 0113 0500500113 830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</si>
  <si>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</si>
  <si>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156 0113 0500500113 831</t>
  </si>
  <si>
    <t>156 0113 0500500113 850</t>
  </si>
  <si>
    <t>156 0113 0500500113 853</t>
  </si>
  <si>
    <t xml:space="preserve">  Другие общегосударственные вопросы (непрограммные расходы)</t>
  </si>
  <si>
    <t>156 0113 8100000000 000</t>
  </si>
  <si>
    <t xml:space="preserve">Реализация государственных функций, связанных с общегосударственным управлением  </t>
  </si>
  <si>
    <t>156 0113 8110000113 000</t>
  </si>
  <si>
    <t>156 0113 8110000113 200</t>
  </si>
  <si>
    <t>156 0113 8110000113 240</t>
  </si>
  <si>
    <t>156 0113 8110000113 244</t>
  </si>
  <si>
    <t xml:space="preserve">  Социальное обеспечение и иные выплаты населению</t>
  </si>
  <si>
    <t>156 0113 8110000113 300</t>
  </si>
  <si>
    <t>Публичные нормативные выплаты гражданам несоциального характера</t>
  </si>
  <si>
    <t>156 0113 8110000113 330</t>
  </si>
  <si>
    <t>156 0113 8110000113 360</t>
  </si>
  <si>
    <t xml:space="preserve">Выполнение других обязательств государства  </t>
  </si>
  <si>
    <t>156 0113 8120000113 000</t>
  </si>
  <si>
    <t>156 0113 8120000113 800</t>
  </si>
  <si>
    <t>156 0113 8120000113 830</t>
  </si>
  <si>
    <t>156 0113 8120000113 831</t>
  </si>
  <si>
    <t>156 0113 8120000113 850</t>
  </si>
  <si>
    <t>156 0113 8120000113 851</t>
  </si>
  <si>
    <t>156 0113 8120000113 852</t>
  </si>
  <si>
    <t>156 0113 8120000113 853</t>
  </si>
  <si>
    <t>156 0113 8400100111 000</t>
  </si>
  <si>
    <t>156 0113 8400100111 300</t>
  </si>
  <si>
    <t>156 0113 8400100111 330</t>
  </si>
  <si>
    <t xml:space="preserve">  НАЦИОНАЛЬНАЯ БЕЗОПАСНОСТЬ И ПРАВООХРАНИТЕЛЬНАЯ ДЕЯТЕЛЬНОСТЬ</t>
  </si>
  <si>
    <t>156 0300 0000000000 000</t>
  </si>
  <si>
    <t xml:space="preserve">  Гражданская оборона</t>
  </si>
  <si>
    <t>156 0309 0000000000 000</t>
  </si>
  <si>
    <t xml:space="preserve">МП "Развитие системы гражданской обороны в городе Амурске"    </t>
  </si>
  <si>
    <t>156 0309 0700000000 000</t>
  </si>
  <si>
    <t xml:space="preserve">Мероприятия, направленные на поддержание сил и средств гражданской обороны в состоянии постоянной готовности в рамках МП "Развитие системы гражданской обороны в городе Амурске"  </t>
  </si>
  <si>
    <t>156 0309 0700100309 000</t>
  </si>
  <si>
    <t>156 0309 0700100309 200</t>
  </si>
  <si>
    <t>156 0309 0700100309 240</t>
  </si>
  <si>
    <t>156 0309 0700100309 244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</si>
  <si>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</si>
  <si>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156 0310 0000000000 000</t>
  </si>
  <si>
    <t>156 0310 0600000000 000</t>
  </si>
  <si>
    <t>156 0310 0600100310 000</t>
  </si>
  <si>
    <t>156 0310 0600100310 200</t>
  </si>
  <si>
    <t>156 0310 0600100310 240</t>
  </si>
  <si>
    <t>156 0310 0600100310 244</t>
  </si>
  <si>
    <t xml:space="preserve">Мероприятия по обеспечению безопасности людей на водных объектах в рамках МП "Защита населения на территории городского поселения «Город Амурск» от чрезвычайных ситуаций,природного и техногенного характера, обеспечение первичных мер пожарной безопасности, обеспечение безопасности людей на водных объектах"  </t>
  </si>
  <si>
    <t>156 0310 0600200310 000</t>
  </si>
  <si>
    <t>156 0310 0600200310 200</t>
  </si>
  <si>
    <t>156 0310 0600200310 240</t>
  </si>
  <si>
    <t>156 0310 0600200310 244</t>
  </si>
  <si>
    <t xml:space="preserve">Мероприятия по обеспечению безопасности на водных объектах (оборудование спасательного поста в месте массового отдыха людей) в рамках МП "Защита населения на территории городского поселения «Город Амурск» от чрезвычайных ситуаций, обеспечение первичных мер пожарной безопасности, обеспечение безопасности людей на водных объектах"  </t>
  </si>
  <si>
    <t>156 0310 06002SС170 000</t>
  </si>
  <si>
    <t>156 0310 06002SС170 200</t>
  </si>
  <si>
    <t>156 0310 06002SС170 240</t>
  </si>
  <si>
    <t>156 0310 06002SС170 244</t>
  </si>
  <si>
    <t>156 0310 0600300310 000</t>
  </si>
  <si>
    <t>156 0310 0600300310 200</t>
  </si>
  <si>
    <t>156 0310 0600300310 240</t>
  </si>
  <si>
    <t>156 0310 0600300310 244</t>
  </si>
  <si>
    <t>156 0310 06003SС440 000</t>
  </si>
  <si>
    <t>156 0310 06003SС440 200</t>
  </si>
  <si>
    <t>156 0310 06003SС440 240</t>
  </si>
  <si>
    <t>156 0310 06003SС440 244</t>
  </si>
  <si>
    <t xml:space="preserve">  Резервные фонды администрации района</t>
  </si>
  <si>
    <t>156 0310 8400200080 000</t>
  </si>
  <si>
    <t>156 0310 8400200080 200</t>
  </si>
  <si>
    <t>156 0310 8400200080 240</t>
  </si>
  <si>
    <t>156 0310 8400200080 244</t>
  </si>
  <si>
    <t xml:space="preserve">  Резервный фонд по чрезвычайным ситуациям муниципального образования "Город Амурск"</t>
  </si>
  <si>
    <t>156 0310 8400200111 000</t>
  </si>
  <si>
    <t>156 0310 8400200111 200</t>
  </si>
  <si>
    <t>156 0310 8400200111 240</t>
  </si>
  <si>
    <t>156 0310 8400200111 244</t>
  </si>
  <si>
    <t xml:space="preserve">  Прочие межбюджетные трансферты из бюджетов поселений бюджету муниципального района в сфере гражданской обороны, защиты населения, предупреждения и ликвидации ЧС в соотвествии с заключенными Соглашениями</t>
  </si>
  <si>
    <t>156 0310 8530000070 000</t>
  </si>
  <si>
    <t>156 0310 8530000070 500</t>
  </si>
  <si>
    <t>156 0310 8530000070 540</t>
  </si>
  <si>
    <t xml:space="preserve">  Другие вопросы в области национальной безопасности и правоохранительной деятельности</t>
  </si>
  <si>
    <t>156 0314 0000000 000 000</t>
  </si>
  <si>
    <t xml:space="preserve">МП "Безопасный город" муниципального образования городское поселение "Город Амурск"  </t>
  </si>
  <si>
    <t>156 0314 0800000000 000</t>
  </si>
  <si>
    <t xml:space="preserve">Мероприятия, направленные на поддержание работоспособности и развитие технических средств обеспечения безопасности граждан в общественных местах в рамках МП "Безопасный город" </t>
  </si>
  <si>
    <t>156 0314 0800100314 000</t>
  </si>
  <si>
    <t>156 0314 0800100314 200</t>
  </si>
  <si>
    <t>156 0314 0800100314 240</t>
  </si>
  <si>
    <t>156 0314 0800100314 242</t>
  </si>
  <si>
    <t>156 0314 0800100314 244</t>
  </si>
  <si>
    <t xml:space="preserve">Мероприятия, направленные на поддержку работоспособности и развитие технических средств обеспечения безопасности граждан в общественных местах в рамках МП "Безопасный город" </t>
  </si>
  <si>
    <t>156 0314 08001SС930 000</t>
  </si>
  <si>
    <t>156 0314 08001SС930 200</t>
  </si>
  <si>
    <t>156 0314 08001SС930 240</t>
  </si>
  <si>
    <t>156 0314 08001SС930 244</t>
  </si>
  <si>
    <t>Мероприятия, направленные на техническое обслуживание уличной системы видеонаблюдения в рамках МП "Безопасный город" муниципального образования городское поселение "Город Амурск"</t>
  </si>
  <si>
    <t>156 0314 0800200314 000</t>
  </si>
  <si>
    <t>156 0314 0800200314 200</t>
  </si>
  <si>
    <t>156 0314 0800200314 240</t>
  </si>
  <si>
    <t>156 0314 0800200314 242</t>
  </si>
  <si>
    <t>156 0314 0800200314 244</t>
  </si>
  <si>
    <t xml:space="preserve">МП "Профилактика терроризма и зкстремизма, а также минимизации и  (или) ликвидации последствий проявлений терроризма и экстремизма"  </t>
  </si>
  <si>
    <t>156 0314 3900000000 000</t>
  </si>
  <si>
    <t xml:space="preserve">Мероприятия, направленные на техническое соответствие антитеррористической защищенности мест массового пребывания людей в рамках МП "Профилактика терроризма и зкстремизма, а также минимизации и  (или) ликвидации последствий проявлений терроризма и экстремизма" </t>
  </si>
  <si>
    <t>156 0314 3900100314 000</t>
  </si>
  <si>
    <t>156 0314 3900100314 200</t>
  </si>
  <si>
    <t>156 0314 3900100314 240</t>
  </si>
  <si>
    <t>156 0314 3900100314 244</t>
  </si>
  <si>
    <t xml:space="preserve">  НАЦИОНАЛЬНАЯ ЭКОНОМИКА</t>
  </si>
  <si>
    <t>156 0400 0000000000 000</t>
  </si>
  <si>
    <t xml:space="preserve">  Сельское хозяйство и рыболовство</t>
  </si>
  <si>
    <t>156 0405 0000000000 000</t>
  </si>
  <si>
    <t xml:space="preserve">МП "Развитие сельского хозяйства в городе Амурске"  </t>
  </si>
  <si>
    <t xml:space="preserve"> 156 0405 0900000000 000</t>
  </si>
  <si>
    <t xml:space="preserve">Мероприятия по организации информационно-методического обеспечения сельхозпроизводителей в рамках МП "Развитие сельского хозяйства в городе Амурске"  </t>
  </si>
  <si>
    <t>156 0405 0900100405 000</t>
  </si>
  <si>
    <t>156 0405 0900100405 200</t>
  </si>
  <si>
    <t>156 0405 0900100405 240</t>
  </si>
  <si>
    <t>156 0405 0900100405 244</t>
  </si>
  <si>
    <t xml:space="preserve">Субсидии садоводческим, огородническим некоммерческим товариществам в части затрат на инженерное обеспечение территорий СНТ, на технологическое присоединение к расположенным за пределами территории СНТ линиям электроснабжения, водоснабжения и водоотведения, на благоустройство земельных участков общего назначения в границах СНТ в рамках МП "Развитие сельского хозяйства в городе Амурске"  </t>
  </si>
  <si>
    <t>156 0405 0900200405 000</t>
  </si>
  <si>
    <t>156 0405 0900200405 600</t>
  </si>
  <si>
    <t>156 0405 0900200405 630</t>
  </si>
  <si>
    <t xml:space="preserve"> Субсидии на возмещение недополученных доходов и (или) возмещение фактически понесенных затрат</t>
  </si>
  <si>
    <t>156 0405 0900200405 631</t>
  </si>
  <si>
    <t xml:space="preserve"> Субсидии из краевого бюджета на софинансирование обязательств муниципальных образований края по поддержке садоводческих, огороднических и дачных некоммерческих объединений в рамках МП "Развитие сельского хозяйства в городском поселении "Город Амурск"  </t>
  </si>
  <si>
    <t>156 0405 09002SС050 000</t>
  </si>
  <si>
    <t>156 0405 09002SС050 600</t>
  </si>
  <si>
    <t>156 0405 09002SС050 630</t>
  </si>
  <si>
    <t>156 0405 09002SС050 631</t>
  </si>
  <si>
    <t>Водное хозяйство</t>
  </si>
  <si>
    <t>156 0406 0000000 000 000</t>
  </si>
  <si>
    <t xml:space="preserve">МП "Развитие водохозяйственного комплекса на территории городского поселения "Город Амурск"  </t>
  </si>
  <si>
    <t xml:space="preserve"> 156 0406 3500000000 000</t>
  </si>
  <si>
    <t xml:space="preserve">Мероприятия, направленные на реконструкцию гидротехнических сооружений (дамбы) в рамках МП "Развитие водохозяйственного комплекса на территории городского поселения "Город Амурск"  </t>
  </si>
  <si>
    <t>156 0406 3500100406 000</t>
  </si>
  <si>
    <t>156 0406 3500100406 200</t>
  </si>
  <si>
    <t>156 0406 3500100406 240</t>
  </si>
  <si>
    <t>156 0406 3500100406 244</t>
  </si>
  <si>
    <t>Транспорт</t>
  </si>
  <si>
    <t>156 0408 0000000 000 000</t>
  </si>
  <si>
    <t>МП "Содержание, ремонт и развитие дорожной сети городского поселения "Город Амурск"</t>
  </si>
  <si>
    <t>156 0408 1100000000 000</t>
  </si>
  <si>
    <t xml:space="preserve"> Организация транспортного обслуживания населения автомобильным транспортом в границах муниципального образования (Приобретение подвижного состава автомобильного транспорта) в рамках МП "Содержание, ремонт и развитие дорожной сети городского поселения "Город Амурск"</t>
  </si>
  <si>
    <t>156 0408 11002SС090 000</t>
  </si>
  <si>
    <t>156 0408 11002SС090 200</t>
  </si>
  <si>
    <t>156 0408 11002SС090 240</t>
  </si>
  <si>
    <t>156 0408 11002SС090 244</t>
  </si>
  <si>
    <t xml:space="preserve">  Закупка товаров, работ и услуг для обеспечения государственных (муниципальных) нужд</t>
  </si>
  <si>
    <t>Обеспечение регулярных пассажирских перевозок автомобильным транспортом по муниципальным маршрутам на территории городского поселения "Город Амурск"</t>
  </si>
  <si>
    <t>156 0408 8320000408 000</t>
  </si>
  <si>
    <t>156 0408 8320000408 200</t>
  </si>
  <si>
    <t>156 0408 8320000408 240</t>
  </si>
  <si>
    <t>156 0408 8320000408 244</t>
  </si>
  <si>
    <t xml:space="preserve">  Дорожное хозяйство (дорожные фонды)</t>
  </si>
  <si>
    <t>156 0409 0000000 000 000</t>
  </si>
  <si>
    <t>156 0409 1100000000 000</t>
  </si>
  <si>
    <t>Ремонт автомобильных дорог общего пользования в рамках МП "Содержание, ремонт и развитие дорожной сети городского поселения "Город Амурск"</t>
  </si>
  <si>
    <t>156 0409 1100100030 000</t>
  </si>
  <si>
    <t>156 0409 1100100030 200</t>
  </si>
  <si>
    <t>156 0409 1100100030 240</t>
  </si>
  <si>
    <t>156 0409 1100100030 244</t>
  </si>
  <si>
    <t>Ремонт участка автомобильной дороги от заправочной станции до кольцевой транспортной развязки в г. Амурске в рамках МП "Содержание, ремонт и развитие дорожной сети городского поселения "Город Амурск"</t>
  </si>
  <si>
    <t>156 0409 1100100040 000</t>
  </si>
  <si>
    <t>156 0409 1100100040 200</t>
  </si>
  <si>
    <t>156 0409 1100100040 240</t>
  </si>
  <si>
    <t>156 0409 1100100040 244</t>
  </si>
  <si>
    <t>Содержание и ремонт автомобильных дорог общего пользования в рамках МП "Содержание, ремонт и развитие дорожной сети городского поселения "Город Амурск"</t>
  </si>
  <si>
    <t>156 0409 1100100409 000</t>
  </si>
  <si>
    <t>156 0409 1100100409 200</t>
  </si>
  <si>
    <t>156 0409 1100100409 240</t>
  </si>
  <si>
    <t>156 0409 1100100409 244</t>
  </si>
  <si>
    <t>Мероприятия, направленные на финансовое обеспечение дорожной деятельности опорных пунктов от 20 тысяч человек Дальневосточного федерального округа (осуществление ремонта (капитальный ремонт) автомобильных дорог регионального или межмуниципального, местного значения) в рамках МП "Содержание, ремонт и развитие дорожной сети городского поселения "Город Амурск"</t>
  </si>
  <si>
    <t>156 0409 110И854170 000</t>
  </si>
  <si>
    <t>156 0409 110И854170 200</t>
  </si>
  <si>
    <t>156 0409 110И854170 240</t>
  </si>
  <si>
    <t>156 0409 110И854170 244</t>
  </si>
  <si>
    <t>За счет средств федерального и краевого бюджетов</t>
  </si>
  <si>
    <t>МП "Повышение безопасности дорожного движения на территории города Амурска"</t>
  </si>
  <si>
    <t>156 0409 3300000000 000</t>
  </si>
  <si>
    <t>Мероприятия по организации элементов обустройства автомобильных дорог в рамках МП "Повышение безопасности дорожного движения на территории города Амурска"</t>
  </si>
  <si>
    <t>156 0409 3300100409 000</t>
  </si>
  <si>
    <t>156 0409 3300100409 200</t>
  </si>
  <si>
    <t>156 0409 3300100409 240</t>
  </si>
  <si>
    <t>156 0409 3300100409 244</t>
  </si>
  <si>
    <t xml:space="preserve"> Мероприятия, направленные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 в рамках МП "Повышение безопасности дорожного движения на территории города Амурска"</t>
  </si>
  <si>
    <t>156 0409 330И59Д130 000</t>
  </si>
  <si>
    <t>156 0409 330И59Д130 200</t>
  </si>
  <si>
    <t>156 0409 330И59Д130 240</t>
  </si>
  <si>
    <t>156 0409 330И59Д130 244</t>
  </si>
  <si>
    <t>МП "Формирование современной городской среды городского поселения "Город Амурск"</t>
  </si>
  <si>
    <t>156 0409 3700000000 000</t>
  </si>
  <si>
    <t xml:space="preserve"> Мероприятия по капитальному ремонту и ремонту дворовых территорий многоквартирных домов, проездов к дворовым территориям многоквартирных домов в рамках МП "Формирование современной городской среды городского поселения "Город Амурск"</t>
  </si>
  <si>
    <t>156 0409 370049Д210 000</t>
  </si>
  <si>
    <t>156 0409 370049Д210 200</t>
  </si>
  <si>
    <t>156 0409 370049Д210 240</t>
  </si>
  <si>
    <t>156 0409 370049Д210 244</t>
  </si>
  <si>
    <t xml:space="preserve">  Другие вопросы в области национальной экономики</t>
  </si>
  <si>
    <t>156 0412 0000000000 000</t>
  </si>
  <si>
    <t xml:space="preserve">МП "Развитие и поддержка малого и среднего предпринимательства в городе Амурске"  </t>
  </si>
  <si>
    <t>156 0412 1200000000 000</t>
  </si>
  <si>
    <t xml:space="preserve">Мероприятия, направленные на формирование положительного имиджа предпринимательства и пропаганду его социальной значимости в рамках МП "Развитие и поддержка малого и среднего предпринимательства в городе Амурске"  </t>
  </si>
  <si>
    <t>156 0412 1200100412 000</t>
  </si>
  <si>
    <t>156 0412 1200100412 200</t>
  </si>
  <si>
    <t>156 0412 1200100412 240</t>
  </si>
  <si>
    <t>156 0412 1200100412 244</t>
  </si>
  <si>
    <t xml:space="preserve">Социальное обеспечение и иные выплаты населению
</t>
  </si>
  <si>
    <t>156 0412 1200100412 300</t>
  </si>
  <si>
    <t>156 0412 1200100412 360</t>
  </si>
  <si>
    <t xml:space="preserve"> Мероприятия, направленные на совершенствование информационного, образовательного и аналитического обеспечения субъектов малого и среднего предпринимательствав рамках МП "Развитие и поддержка малого и среднего предпринимательства в городе Амурске"</t>
  </si>
  <si>
    <t>156 0412 1200200412 000</t>
  </si>
  <si>
    <t>156 0412 1200200412 200</t>
  </si>
  <si>
    <t>156 0412 1200200412 240</t>
  </si>
  <si>
    <t>156 0412 1200200412 244</t>
  </si>
  <si>
    <t xml:space="preserve"> Субсидии юридическим лицам (кроме некоммерческих организаций), индивидуальным предпринимателям, в том числе предоставляемых на конкурсной основе на возмещение затрат на оплату электроэнергии, топлива, реализацию энергосберегающих мероприятий, приобретение основных средств в рамках МП "Развитие и поддержка малого и среднего предпринимательства в городе Амурске"</t>
  </si>
  <si>
    <t>156 0412 1200300412 000</t>
  </si>
  <si>
    <t>156 0412 1200300412 800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</si>
  <si>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</si>
  <si>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>156 0412 1200300412 810</t>
  </si>
  <si>
    <t xml:space="preserve"> Субсидии на возмещеие недополученных доходов или возмещение фактически понесенных затрат в связи с производством товаров, выполнением работ, оказанием услуг</t>
  </si>
  <si>
    <t>156 0412 1200300412 811</t>
  </si>
  <si>
    <t>Предоставление субсидий на возмещение затрат на оплату электроэнергии, топлива, реализацию энергосберегающих мероприятий, приобретение основных средств субъектам малого и среднего предпринимательства  в рамках МП "Развитие и поддержка малого и среднего предпринимательства в городе Амурске"</t>
  </si>
  <si>
    <t>156 0412 12003SС260 000</t>
  </si>
  <si>
    <t>156 0412 12003SС260 800</t>
  </si>
  <si>
    <t>156 0412 12003SС260 810</t>
  </si>
  <si>
    <t>156 0412 12003SС260 811</t>
  </si>
  <si>
    <t>МП "Мероприятия в области градостроительной деятельности городского поселения "Город Амурск"</t>
  </si>
  <si>
    <t>156 0412 3000000000 000</t>
  </si>
  <si>
    <t>Выполнение мероприятий по внесению изменений в документы территориального планирования населенных пунктов, в границах которых проходит магистральный трубопровод "Оха - Комсомольск-на- Амуре" в рамках МП "Мероприятия в области градостроительной деятельности городского поселения "Город Амурск"</t>
  </si>
  <si>
    <t>156 0412 3000100412 000</t>
  </si>
  <si>
    <t>156 0412 3000100040 200</t>
  </si>
  <si>
    <t>156 0412 3000100040 240</t>
  </si>
  <si>
    <t>156 0412 3000100040 244</t>
  </si>
  <si>
    <t>Мероприятия, направленные на софинансирование в целях разработки градостроительной документации в рамках МП "Мероприятия в области градостроительной деятельности городского поселения "Город Амурск"</t>
  </si>
  <si>
    <t>156 0412 30001SС200 000</t>
  </si>
  <si>
    <t>156 0412 30001SС2002 200</t>
  </si>
  <si>
    <t>156 0412 30001SС200 240</t>
  </si>
  <si>
    <t>156 0412 30001SС200 244</t>
  </si>
  <si>
    <t xml:space="preserve">  ЖИЛИЩНО-КОММУНАЛЬНОЕ ХОЗЯЙСТВО</t>
  </si>
  <si>
    <t>156 0500 0000000000 000</t>
  </si>
  <si>
    <t xml:space="preserve">  Жилищное хозяйство</t>
  </si>
  <si>
    <t>156 0501 0000000000 000</t>
  </si>
  <si>
    <t xml:space="preserve">МП "Содержание и ремонт жилого фонда в городе Амурске"  </t>
  </si>
  <si>
    <t xml:space="preserve"> 156 0501 3600000000 000</t>
  </si>
  <si>
    <t xml:space="preserve">Мероприятия, направленные на ремонт муниципальных жилых помещений, в рамках МП "Содержание и ремонт жилого фонда в городе Амурске"  </t>
  </si>
  <si>
    <t>156 0501 3600100501 000</t>
  </si>
  <si>
    <t>156 0501 3600100501 200</t>
  </si>
  <si>
    <t>156 0501 3600100501 240</t>
  </si>
  <si>
    <t>156 0501 3600100501 244</t>
  </si>
  <si>
    <t xml:space="preserve">Ежемесячные взносы на капитальный ремонт общего имущества многоквартирных домов за жилые и нежилые помещения, находящихся в собственности городского поселения "Город Амурск" в рамках МП "Содержание и ремонт жилого фонда в городе Амурске"  </t>
  </si>
  <si>
    <t>156 0501 3600200501 000</t>
  </si>
  <si>
    <t>156 0501 3600200501 800</t>
  </si>
  <si>
    <t>156 0501 3600200501 850</t>
  </si>
  <si>
    <t>156 0501 3600200501 853</t>
  </si>
  <si>
    <t xml:space="preserve">Мероприятия, направленные на совершенствование системы организации расчетов населения за ЖКУ, аварийное обслуживание многоквартирных домов ( без управления) в рамках МП "Содержание и ремонт жилого фонда в городе Амурске"  </t>
  </si>
  <si>
    <t>156 0501 3600300501 000</t>
  </si>
  <si>
    <t>156 0501 3600300501 200</t>
  </si>
  <si>
    <t>156 0501 3600300501 240</t>
  </si>
  <si>
    <t>156 0501 3600300501 244</t>
  </si>
  <si>
    <t xml:space="preserve">Мероприятия по выплате выкупной цены (возмещение) собственнику жилого помещения в многоквартирном доме, признанном аварийным и подлежащим сносу в рамках МП "Содержание и ремонт жилого фонда в городе Амурске"  </t>
  </si>
  <si>
    <t>156 0501 3600400501 000</t>
  </si>
  <si>
    <t>156 0501 3600400501 800</t>
  </si>
  <si>
    <t>156 0501 3600400501 850</t>
  </si>
  <si>
    <t>156 0501 3600400501 853</t>
  </si>
  <si>
    <t>Субсидии муниципальному унитарному предприятию "Амурский расчетно-кассовый центр" городского поселения "Город Амурск", в целях возмещения части затрат по ведению регистрационного учета граждан, проживающих в муниципальных жилых помещениях городского поселения "Город Амурск"</t>
  </si>
  <si>
    <t>156 0501 8380000501 000</t>
  </si>
  <si>
    <t>156 0501 8380000501 800</t>
  </si>
  <si>
    <t>156 0501 8380000501 810</t>
  </si>
  <si>
    <t>156 0501 8380000501 811</t>
  </si>
  <si>
    <t>156 0501 8400100111 000</t>
  </si>
  <si>
    <t>156  0501 8400100111 200</t>
  </si>
  <si>
    <t>156  0501 8400100111 240</t>
  </si>
  <si>
    <t>156  0501 8400100111 244</t>
  </si>
  <si>
    <t>156 0501 8400200111 000</t>
  </si>
  <si>
    <t>156  0501 8400200111 200</t>
  </si>
  <si>
    <t>156  0501 8400200111 240</t>
  </si>
  <si>
    <t>156  0501 8400200111 244</t>
  </si>
  <si>
    <t xml:space="preserve">  Коммунальное хозяйство</t>
  </si>
  <si>
    <t>156 0502 0000000000 000</t>
  </si>
  <si>
    <t>МП "Восстановление ливневой канализации на территории городского поселения "Город Амурск"</t>
  </si>
  <si>
    <t>156 0502 1300000000 000</t>
  </si>
  <si>
    <t xml:space="preserve"> Мероприятия, направленные на ремонт и прочистку сетей ливневой канализации  в рамках МП "Восстановление ливневой канализации на территории городского поселения "Город Амурск"</t>
  </si>
  <si>
    <t>156 0502 1300100502 000</t>
  </si>
  <si>
    <t>156 0502 1300100502 200</t>
  </si>
  <si>
    <t>156 0502 1300100502 240</t>
  </si>
  <si>
    <t>156 0502 1300100502 244</t>
  </si>
  <si>
    <t xml:space="preserve"> Мероприятия, направленные на развитие системы ливневой канализации в рамках МП "Восстановление ливневой канализации на территории городского поселения "Город Амурск"</t>
  </si>
  <si>
    <t>156 0502 1300200502 000</t>
  </si>
  <si>
    <t>156 0502 1300200502 200</t>
  </si>
  <si>
    <t>156 0502 1300200502 240</t>
  </si>
  <si>
    <t>156 0502 1300200502 244</t>
  </si>
  <si>
    <t xml:space="preserve">МП "Чистая вода на территории городского поселения "Город Амурск"  </t>
  </si>
  <si>
    <t>156 0502 1400000000 000</t>
  </si>
  <si>
    <t xml:space="preserve">Мероприятия на объектах водопроводного хозяйства в рамках МП "Чистая вода на территории городского поселения "Город Амурск"  </t>
  </si>
  <si>
    <t>156 0502 1400100502 000</t>
  </si>
  <si>
    <t>156 0502 1400100502 800</t>
  </si>
  <si>
    <t>156 0502 1400100502 810</t>
  </si>
  <si>
    <t>156 0502 1400100502 811</t>
  </si>
  <si>
    <t xml:space="preserve">Расходы по финансированию части затрат на выполнение мероприятий предусмотренных концессионным соглашением на объектах канализационного хозяйства в рамках МП "Чистая вода на территории городского поселения "Город Амурск"  </t>
  </si>
  <si>
    <t>156 0502 1400200502 000</t>
  </si>
  <si>
    <t>156 0502 1400200502 800</t>
  </si>
  <si>
    <t>156 0502 1400200502 810</t>
  </si>
  <si>
    <t>156 0502 1400200502 811</t>
  </si>
  <si>
    <t xml:space="preserve">МП "Энергосбережение и повышение энергетической эффективности в городском поселении "Город Амурск"  </t>
  </si>
  <si>
    <t>156 0502 1800000000 000</t>
  </si>
  <si>
    <t xml:space="preserve"> Энергосберегающие мероприятия в рамках МП "Энергосбережение и повышение энергетической эффективности в городском поселении "Город Амурск"</t>
  </si>
  <si>
    <t>156 0502 1800200502 000</t>
  </si>
  <si>
    <t>156 0502 1800200502 200</t>
  </si>
  <si>
    <t>156 0502 1800200502 240</t>
  </si>
  <si>
    <t>156 0502 1800200502 244</t>
  </si>
  <si>
    <t xml:space="preserve"> Мероприятия, направленные на приобретение и поставку блочно-модульной энергетической установки на ст.Мылки в рамках МП "Энергосбережение и повышение энергетической эффективности в городском поселении "Город Амурск"</t>
  </si>
  <si>
    <t>156 0502 18002SС560 000</t>
  </si>
  <si>
    <t>156 0502 18002SС560 200</t>
  </si>
  <si>
    <t>156 0502 18002SС560 240</t>
  </si>
  <si>
    <t>156 0502 18002SС560 244</t>
  </si>
  <si>
    <t>МП "Комплексное освоение территории для развития малоэтажного строительства в городе Амурск"</t>
  </si>
  <si>
    <t>156 0502 3400000000 000</t>
  </si>
  <si>
    <t>Технологическое присоединение к электрическим сетям, в целях создания условий подключения к электроснабжению объектов малоэтажного индивидуального жилищного строительства, осуществляемого семьями, имеющими трёх и более детей в рамках МП "Комплексное освоение территории для развития малоэтажного строительства в городе Амурск"</t>
  </si>
  <si>
    <t>156 0502 3400100502 000</t>
  </si>
  <si>
    <t>156 0502 3400100502 200</t>
  </si>
  <si>
    <t>156 0502 3400100502 240</t>
  </si>
  <si>
    <t>156 0502 3400100502 244</t>
  </si>
  <si>
    <t xml:space="preserve">  Коммунальное хозяйство (другие непрограммные расходы)</t>
  </si>
  <si>
    <t>156 0502 8000000000 000</t>
  </si>
  <si>
    <t>Субсидии ООО "Гарант" на финансовое обеспечение затрат, в связи с реализацией услуг по отоплению многоквартирного дома станции Мылки городского поселения "Город Амурск"</t>
  </si>
  <si>
    <t>156 0502 8310000502 000</t>
  </si>
  <si>
    <t>156 0502 8310000502 800</t>
  </si>
  <si>
    <t>156 0502 8310000502 810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</si>
  <si>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</si>
  <si>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156 0502 8310000502 813</t>
  </si>
  <si>
    <t>156 0502 8400100111 000</t>
  </si>
  <si>
    <t>156 0502 8400100111 200</t>
  </si>
  <si>
    <t>156 0502 8400100111 240</t>
  </si>
  <si>
    <t>156 0502 8400100111 244</t>
  </si>
  <si>
    <t>156 0502 8400200111 000</t>
  </si>
  <si>
    <t>156 0502 8400200111 200</t>
  </si>
  <si>
    <t>156 0502 8400200111 240</t>
  </si>
  <si>
    <t>156 0502 8400200111 244</t>
  </si>
  <si>
    <t xml:space="preserve">  Благоустройство</t>
  </si>
  <si>
    <t>156 0503 0000000000 000</t>
  </si>
  <si>
    <t xml:space="preserve">МП "Организация уличного освещения в городе Амурске"  </t>
  </si>
  <si>
    <t>156 0503 1500000000 000</t>
  </si>
  <si>
    <t xml:space="preserve">Содержание, ремонт и строительство новых линий уличного освещения и светофорных объектов в рамках МП "Организация уличного освещения в городе Амурске"  </t>
  </si>
  <si>
    <t>156 0503 1500100503 000</t>
  </si>
  <si>
    <t>156 0503 1500100503 200</t>
  </si>
  <si>
    <t>156 0503 1500100503 240</t>
  </si>
  <si>
    <t>156 0503 1500100503 244</t>
  </si>
  <si>
    <t xml:space="preserve">Электроснабжение сетей уличного освещения города Амурска в рамках МП "Организация уличного освещения в городе Амурске"  </t>
  </si>
  <si>
    <t>156 0503 1500200503 000</t>
  </si>
  <si>
    <t>156 0503 1500200503 200</t>
  </si>
  <si>
    <t>156 0503 1500200503 240</t>
  </si>
  <si>
    <t>156 0503 1500200503 247</t>
  </si>
  <si>
    <t xml:space="preserve">МП "Развитие и содержание мест погребения в городском поселении "Город Амурск"  </t>
  </si>
  <si>
    <t>156 0503 1700000000 000</t>
  </si>
  <si>
    <t xml:space="preserve">Мероприятия, направленные на содержание мест погребения в рамках МП "Развитие и содержание мест погребения в городском поселении "Город Амурск"  </t>
  </si>
  <si>
    <t>156 0503 1700100503 000</t>
  </si>
  <si>
    <t>156 0503 1700100503 200</t>
  </si>
  <si>
    <t>156 0503 1700100503 240</t>
  </si>
  <si>
    <t>156 0503 1700100503 244</t>
  </si>
  <si>
    <t xml:space="preserve">Мероприятия по доставке невостребованных тел в морг в рамках МП "Развитие и содержание мест погребения в городском поселении "Город Амурск"  </t>
  </si>
  <si>
    <t>156 0503 1700200503 000</t>
  </si>
  <si>
    <t>156 0503 1700200503 200</t>
  </si>
  <si>
    <t>156 0503 1700200503 240</t>
  </si>
  <si>
    <t>156 0503 1700200503 244</t>
  </si>
  <si>
    <t xml:space="preserve"> Мероприятия, направленные на разработку кварталов для погребения в рамках МП "Организация и содержание мест погребения в городском поселении "Город Амурск"  </t>
  </si>
  <si>
    <t>156 0503 1700300503 000</t>
  </si>
  <si>
    <t>156 0503 1700300503 200</t>
  </si>
  <si>
    <t>156 0503 1700300503 240</t>
  </si>
  <si>
    <t>156 0503 1700300503 244</t>
  </si>
  <si>
    <t xml:space="preserve">Мероприятия по захоронению невостребованных умерших в рамках МП "Развитие и содержание мест погребения в городском поселении "Город Амурск"  </t>
  </si>
  <si>
    <t>156 0503 1700400503 000</t>
  </si>
  <si>
    <t>156 0503 1700400503 200</t>
  </si>
  <si>
    <t>156 0503 1700400503 240</t>
  </si>
  <si>
    <t>156 0503 1700400503 244</t>
  </si>
  <si>
    <t xml:space="preserve">Реализация мероприятий по благоустройству воинских захоронений в рамках МП "Организация и содержание мест погребения в городском поселении "Город Амурск"  </t>
  </si>
  <si>
    <t>156 0503 1700500503 000</t>
  </si>
  <si>
    <t>156 0503 1700500503 200</t>
  </si>
  <si>
    <t>156 0503 1700500503 240</t>
  </si>
  <si>
    <t>156 0503 1700500503 244</t>
  </si>
  <si>
    <t>156 0503 3100000000 000</t>
  </si>
  <si>
    <t>Мероприятия по формированию доступной среды жизнедеятельности инвалидов в сфере жилищно-коммунального хозяйства в рамках МП "Доступная среда"   в городском поселении "Город Амурск"</t>
  </si>
  <si>
    <t>156 0503 3100100503 000</t>
  </si>
  <si>
    <t>156 0503 3100100503 200</t>
  </si>
  <si>
    <t>156 0503 3100100503 240</t>
  </si>
  <si>
    <t>156 0503 3100100503 244</t>
  </si>
  <si>
    <t>МП "Формирование современной городской среды" городского поселения "Город Амурск"</t>
  </si>
  <si>
    <t>156 0503 3700000000 000</t>
  </si>
  <si>
    <t>Субсидии на возмещение фактически понесенных затрат по благоустройству дворовых территорий многоквартирных домов, включенных в План социального развититя центров экономического роста Хабаровского края за счет местного бюджетав рамках МП "Формирование современной городской среды" городского поселения "Город Амурск"</t>
  </si>
  <si>
    <t>156 0503 3700100503000</t>
  </si>
  <si>
    <t>156 0503 3700100503 200</t>
  </si>
  <si>
    <t>156 0503 3700100503 240</t>
  </si>
  <si>
    <t>156 0503 3700100503 244</t>
  </si>
  <si>
    <t>Реализация мероприятий, связанных с благоустройством дворовых территорий многоквартирных домов городского поселения "Город Амурск", включенных в План социального развития центров экономического роста субъектов Российской Федерации  в рамках МП "Формирование современной городской среды" городского поселения "Город Амурск"</t>
  </si>
  <si>
    <t>156 0503 37001L5050 000</t>
  </si>
  <si>
    <t>156 0503 37001L5050 800</t>
  </si>
  <si>
    <t>156 0503 37001L5050 810</t>
  </si>
  <si>
    <t>156 0503 37001L5050 811</t>
  </si>
  <si>
    <t>Мероприятия, направленные на реализацию муниципальных программ формирования современной городской среды по благоустройству общественных территорий в рамках МП "Формирование современной городской среды" городского поселения "Город Амурск"</t>
  </si>
  <si>
    <t>156 0503 3700200503 000</t>
  </si>
  <si>
    <t>156 0503 3700200503 200</t>
  </si>
  <si>
    <t>156 0503 3700200503 240</t>
  </si>
  <si>
    <t>156 0503 3700200503 244</t>
  </si>
  <si>
    <t xml:space="preserve"> Мероприятия, направленные на благоустройство общественной территории - победителя всероссийского конкурса лучших проектов создания комфортной городской среды  в рамках МП "Формирование современной городской среды городского поселения "Город Амурск"</t>
  </si>
  <si>
    <t>156 0503 3700500503 000</t>
  </si>
  <si>
    <t>156 0503 3700500503 200</t>
  </si>
  <si>
    <t>156 0503 3700500503 240</t>
  </si>
  <si>
    <t>156 0503 3700500503 244</t>
  </si>
  <si>
    <t>156 0503 3700500503 600</t>
  </si>
  <si>
    <t>156 0503 3700500503 610</t>
  </si>
  <si>
    <t>156 0503 3700500503 611</t>
  </si>
  <si>
    <t>156 0503 3700500503 612</t>
  </si>
  <si>
    <t>Мероприятия, направленные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в рамках МП "Формирование современной городской среды городского поселения "Город Амурск" за счет средств краевого бюджета</t>
  </si>
  <si>
    <t>156 0503 370И454240 000</t>
  </si>
  <si>
    <t>156 0503 370И454240 600</t>
  </si>
  <si>
    <t>156 0503 370И454240 610</t>
  </si>
  <si>
    <t>156 0503 370И454240 612</t>
  </si>
  <si>
    <t>Мероприятия, направленные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в рамках МП "Формирование современной городской среды городского поселения "Город Амурск"</t>
  </si>
  <si>
    <t>156 0503 370И45424К 000</t>
  </si>
  <si>
    <t>156 0503 370И45424К 600</t>
  </si>
  <si>
    <t>156 0503 370И45424К 610</t>
  </si>
  <si>
    <t>156 0503 370И45424К 612</t>
  </si>
  <si>
    <t>156 0503 370И45555А 000</t>
  </si>
  <si>
    <t>156 0503 370И45555А 200</t>
  </si>
  <si>
    <t>156 0503 370И45555А 240</t>
  </si>
  <si>
    <t>156 0503 370И45555А 244</t>
  </si>
  <si>
    <t xml:space="preserve">МП "Благоустройство территорий общего пользования в городском поселении "Город Амурск"  </t>
  </si>
  <si>
    <t>156 0503 4000000000 000</t>
  </si>
  <si>
    <t>Мероприятия, направленные на повышение уровня благоустройства города в рамках МП "Благоустройство территории общего пользования в городском поселении "Город Амурск"</t>
  </si>
  <si>
    <t>156 0503 4000100503 000</t>
  </si>
  <si>
    <t>156 0503 4000100503 200</t>
  </si>
  <si>
    <t>156 0503 4000100503 240</t>
  </si>
  <si>
    <t>156 0503 4000100503 244</t>
  </si>
  <si>
    <t>Мероприятия, направленные на обустройство пешеходных зон в рамках МП "Благоустройство территории общего пользования в городском поселении "Город Амурск"</t>
  </si>
  <si>
    <t>156 0503 4000200503 000</t>
  </si>
  <si>
    <t>156 0503 4000200503 200</t>
  </si>
  <si>
    <t>156 0503 4000200503 240</t>
  </si>
  <si>
    <t>156 0503 4000200503 244</t>
  </si>
  <si>
    <t>Обеспечение деятельности (выполнение работ) муниципальных учреждений (муниципальное бюджетное учреждение "Амурская территория комфорта" МБУ "АТК") в рамках МП "Благоустройство территории общего пользования в городском поселении "Город Амурск"</t>
  </si>
  <si>
    <t>156 0503 4000300503 000</t>
  </si>
  <si>
    <t>156 0503 4000300503 600</t>
  </si>
  <si>
    <t>156 0503 4000300503 610</t>
  </si>
  <si>
    <t>156 0503 4000300503 611</t>
  </si>
  <si>
    <t>156 0503 4000300503 612</t>
  </si>
  <si>
    <t>156 0503 8400100111 000</t>
  </si>
  <si>
    <t>156 0503 8400100111 200</t>
  </si>
  <si>
    <t>156 0503 8400100111 240</t>
  </si>
  <si>
    <t>156 0503 8400100111 244</t>
  </si>
  <si>
    <t xml:space="preserve">  ОБРАЗОВАНИЕ</t>
  </si>
  <si>
    <t>156 0700 0000000000 000</t>
  </si>
  <si>
    <t>Профессиональная подготовка,переподготовка и повышение квалификации</t>
  </si>
  <si>
    <t>156 0705 0000000000 000</t>
  </si>
  <si>
    <t>156 0705 0100000000 000</t>
  </si>
  <si>
    <t xml:space="preserve">Профессиональная подготовка, переподготовка и повышение квалификации в рамках МП  «Развитие муниципальной службы в городском поселении «Город Амурск» </t>
  </si>
  <si>
    <t>156 0705 0100100705 000</t>
  </si>
  <si>
    <t>156 0705 0100100705 200</t>
  </si>
  <si>
    <t>156 0705 0100100705 240</t>
  </si>
  <si>
    <t>156 0705 0100100705 244</t>
  </si>
  <si>
    <t xml:space="preserve">Мероприятия по организации дополнительного профессионального образования лиц, замещающих выборные муниципальные должности, муниципальных служащих в рамках МП  «Развитие муниципальной службы в городском поселении «Город Амурск» </t>
  </si>
  <si>
    <t>156 0705 01001SС310 000</t>
  </si>
  <si>
    <t>156 0705 01001SС310 200</t>
  </si>
  <si>
    <t>156 0705 01001SС310 240</t>
  </si>
  <si>
    <t>156 0705 01001SС310 244</t>
  </si>
  <si>
    <t xml:space="preserve">  Молодежная политика </t>
  </si>
  <si>
    <t>156 0707 0000000000 000</t>
  </si>
  <si>
    <t xml:space="preserve">МП "Молодежь города Амурска"  </t>
  </si>
  <si>
    <t>156 0707 1900000000 000</t>
  </si>
  <si>
    <t xml:space="preserve">Проведение мероприятий для детей и молодежи в рамках МП "Молодежь города Амурска"  </t>
  </si>
  <si>
    <t>156 0707 1900100707 000</t>
  </si>
  <si>
    <t>156 0707 1900100707 200</t>
  </si>
  <si>
    <t>156 0707 1900100707 240</t>
  </si>
  <si>
    <t>156 0707 1900100707 244</t>
  </si>
  <si>
    <t>156 0707 1900100707 300</t>
  </si>
  <si>
    <t>156 0707 1900100707 360</t>
  </si>
  <si>
    <t xml:space="preserve">МП "Организация временного трудоустройства несовершеннолетних в летний период в городе  Амурске"  </t>
  </si>
  <si>
    <t>156 0707 2000000000 000</t>
  </si>
  <si>
    <t xml:space="preserve">Организация временного трудоустройства несовершеннолетних в летний период в рамках МП "Организация временного трудоустройства несовершеннолетних в летний период в городе  Амурске"  </t>
  </si>
  <si>
    <t>156 0707 2000100707 000</t>
  </si>
  <si>
    <t>156 0707 2000100707 300</t>
  </si>
  <si>
    <t>156 0707 2000100707 360</t>
  </si>
  <si>
    <t xml:space="preserve">  СОЦИАЛЬНАЯ ПОЛИТИКА</t>
  </si>
  <si>
    <t>156 1000 0000000000 000</t>
  </si>
  <si>
    <t xml:space="preserve">  Пенсионное обеспечение</t>
  </si>
  <si>
    <t>156 1001 0000000000 000</t>
  </si>
  <si>
    <t xml:space="preserve">МП "Развитие муниципальной службы в городском поселении "Город Амурск" </t>
  </si>
  <si>
    <t>156 1001 0100000000 000</t>
  </si>
  <si>
    <t xml:space="preserve">Компенсационные выплаты к пенсии за выслугу лет за счет местного бюджета в рамках МП "Развитие муниципальной службы в городском поселении "Город Амурск" </t>
  </si>
  <si>
    <t>156 1001 0100501001 000</t>
  </si>
  <si>
    <t>156 1001 0100501001 300</t>
  </si>
  <si>
    <t>156 1001 0100501001 320</t>
  </si>
  <si>
    <t>156 1001 0100501001 321</t>
  </si>
  <si>
    <t xml:space="preserve">  Охрана семьи и детства</t>
  </si>
  <si>
    <t>156 1004 0000000000 000</t>
  </si>
  <si>
    <t xml:space="preserve">МП "Обеспечение жильем молодых семей в городе Амурске"  </t>
  </si>
  <si>
    <t>156 1004 2100000000 000</t>
  </si>
  <si>
    <t>Предоставление социальной выплаты молодым семьям на приобретение жилого помещения или создания объекта индивидуального жилищного строительства в рамках МП "Обеспечение жильем молодых семей в городе Амурске"</t>
  </si>
  <si>
    <t>156 1004 2100101004 000</t>
  </si>
  <si>
    <t>156 1004  2100101004 300</t>
  </si>
  <si>
    <t>156 1004  2100101004 320</t>
  </si>
  <si>
    <t xml:space="preserve">  Субсидии гражданам на приобретение жилья</t>
  </si>
  <si>
    <t>156 1004  2100101004 322</t>
  </si>
  <si>
    <t xml:space="preserve">Cофинансирование расходных обязательств молодым семьям на приобретение жилого помещения или создания объекта индивидуального жилищноно строительства в рамках МП "Обеспечение жильем молодых семей в городе Амурске"  </t>
  </si>
  <si>
    <t>156 1004 21001L497M 000</t>
  </si>
  <si>
    <t>156 1004 21001L497M 300</t>
  </si>
  <si>
    <t>156 1004 21001L497M 320</t>
  </si>
  <si>
    <t>156 1004 21001L497M 322</t>
  </si>
  <si>
    <t>156 1004 21001L497М 000</t>
  </si>
  <si>
    <t>156 1004 21001L497М 300</t>
  </si>
  <si>
    <t>156 1004 21001L497М 320</t>
  </si>
  <si>
    <t>156 1004 21001L497М 322</t>
  </si>
  <si>
    <t xml:space="preserve">  ФИЗИЧЕСКАЯ КУЛЬТУРА И СПОРТ</t>
  </si>
  <si>
    <t>156 1100 0000000 000 000</t>
  </si>
  <si>
    <t xml:space="preserve">  Массовый спорт</t>
  </si>
  <si>
    <t>156 1102 0000000 000 000</t>
  </si>
  <si>
    <t xml:space="preserve">МП "Развитие физической культуры и спорта в городе Амурске"  </t>
  </si>
  <si>
    <t>156 1102 2200000000 000</t>
  </si>
  <si>
    <t xml:space="preserve">Проведение массовых физкультурно-спортивных мероприятий, в рамках МП "Развитие физической культуры и спорта в городе Амурске"  </t>
  </si>
  <si>
    <t>156 1102 2200101102 000</t>
  </si>
  <si>
    <t>156 1102 2200101102 100</t>
  </si>
  <si>
    <t>156 1102 2200101102 120</t>
  </si>
  <si>
    <t>156 1102 2200101102 123</t>
  </si>
  <si>
    <t>156 1102 2200101102 200</t>
  </si>
  <si>
    <t>156 1102 2200101102 240</t>
  </si>
  <si>
    <t>156 1102 2200101102 244</t>
  </si>
  <si>
    <t>156 1102 2200101102 300</t>
  </si>
  <si>
    <t>156 1102 2200101102 360</t>
  </si>
  <si>
    <t xml:space="preserve">  СРЕДСТВА МАССОВОЙ ИНФОРМАЦИИ</t>
  </si>
  <si>
    <t>156 1200 0000000000 000</t>
  </si>
  <si>
    <t xml:space="preserve">  Периодическая печать и издательства</t>
  </si>
  <si>
    <t>156 1202 0000000000 000</t>
  </si>
  <si>
    <t>МП "Поддержка и развитие средств массовой информации в городском поселении "Город Амурск"</t>
  </si>
  <si>
    <t>156 1202 3200000000 000</t>
  </si>
  <si>
    <t xml:space="preserve">  Обеспечение оперативного и регулярного освещения деятельности органов местного самоуправления в печатных изданиях в рамках МП "Поддержка и развитие средств массовой информации в городском поселении "Город Амурск"</t>
  </si>
  <si>
    <t>156 1202 3200101202 000</t>
  </si>
  <si>
    <t>156 1202 3200101202 600</t>
  </si>
  <si>
    <t xml:space="preserve">  Субсидии автономным учреждениям</t>
  </si>
  <si>
    <t>156 1202 3200101202 620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</si>
  <si>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</si>
  <si>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156 1202 3200101202 621</t>
  </si>
  <si>
    <t>Результат исполнения бюджета (дефицит / профицит)</t>
  </si>
  <si>
    <t>Информационное обеспечение</t>
  </si>
  <si>
    <t>Резервный фонд</t>
  </si>
  <si>
    <t>МП</t>
  </si>
  <si>
    <t>3.Источники финансирования дефицита бюджета</t>
  </si>
  <si>
    <t>Код источника финансирования дефицита бюджета по бюджетной классификации</t>
  </si>
  <si>
    <t xml:space="preserve">Исполнено 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</si>
  <si>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</si>
  <si>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</si>
  <si>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</si>
  <si>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</si>
  <si>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</si>
  <si>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изменение остатков средств</t>
  </si>
  <si>
    <t>100 01 05 00 00 00 0000 000</t>
  </si>
  <si>
    <t>156 01 05 00 00 00 0000 000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</si>
  <si>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</si>
  <si>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</si>
  <si>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</si>
  <si>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</si>
  <si>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</si>
  <si>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100 01 05 02 00 00 0000 500</t>
  </si>
  <si>
    <t>Увеличение прочих остатков денежных средств бюджетов</t>
  </si>
  <si>
    <t>100 01 05 02 01 00 0000 510</t>
  </si>
  <si>
    <t>Увеличение прочих остатков денежных средств бюджетов городских поселений</t>
  </si>
  <si>
    <t>100 01 05 02 01 13 0000 510</t>
  </si>
  <si>
    <t>156 01 05 02 00 00 0000 500</t>
  </si>
  <si>
    <t>156 01 05 02 01 00 0000 510</t>
  </si>
  <si>
    <t>156 01 05 02 01 13 0000 510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</si>
  <si>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</si>
  <si>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</si>
  <si>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</si>
  <si>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</si>
  <si>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100 01 05 02 00 00 0000 600</t>
  </si>
  <si>
    <t>Уменьшение прочих остатков денежных средств бюджетов</t>
  </si>
  <si>
    <t>100 01 05 02 01 00 0000 610</t>
  </si>
  <si>
    <t>Уменьшение прочих остатков денежных средств бюджетов городских поселений</t>
  </si>
  <si>
    <t>100 01 05 02 01 13 0000 610</t>
  </si>
  <si>
    <t>156 01 05 02 00 00 0000 600</t>
  </si>
  <si>
    <t>156 01 05 02 01 00 0000 610</t>
  </si>
  <si>
    <t>156 01 05 02 01 13 0000 610</t>
  </si>
  <si>
    <r>
      <t xml:space="preserve">Руководитель    __________________          </t>
    </r>
    <r>
      <rPr>
        <u/>
        <sz val="10"/>
        <rFont val="Arial Cyr"/>
        <charset val="204"/>
      </rPr>
      <t xml:space="preserve">  Р.В. Колесников        </t>
    </r>
  </si>
  <si>
    <t xml:space="preserve">                                            (подпись)                      (расшифровка подписи)</t>
  </si>
  <si>
    <r>
      <t xml:space="preserve">Руководитель финансово-   __________________         </t>
    </r>
    <r>
      <rPr>
        <u/>
        <sz val="10"/>
        <rFont val="Arial Cyr"/>
        <family val="2"/>
        <charset val="204"/>
      </rPr>
      <t>С.С. Панишева</t>
    </r>
  </si>
  <si>
    <r>
      <t xml:space="preserve">экономической службы             </t>
    </r>
    <r>
      <rPr>
        <sz val="8"/>
        <rFont val="Arial Cyr"/>
        <charset val="204"/>
      </rPr>
      <t>(подпись)</t>
    </r>
    <r>
      <rPr>
        <sz val="10"/>
        <rFont val="Arial Cyr"/>
        <family val="2"/>
        <charset val="204"/>
      </rPr>
      <t xml:space="preserve">                     </t>
    </r>
    <r>
      <rPr>
        <sz val="8"/>
        <rFont val="Arial Cyr"/>
        <charset val="204"/>
      </rPr>
      <t xml:space="preserve"> (расшифровка подписи)</t>
    </r>
  </si>
  <si>
    <r>
      <t xml:space="preserve">Зав.сектором учета и отчетности ________________  </t>
    </r>
    <r>
      <rPr>
        <u/>
        <sz val="10"/>
        <rFont val="Arial Cyr"/>
        <family val="2"/>
        <charset val="204"/>
      </rPr>
      <t xml:space="preserve"> С.В.Мацебурская</t>
    </r>
  </si>
  <si>
    <t xml:space="preserve">                                                                        (подпись)                (расшифровка подписи)</t>
  </si>
  <si>
    <r>
      <t>"</t>
    </r>
    <r>
      <rPr>
        <u/>
        <sz val="10"/>
        <rFont val="Arial Cyr"/>
        <family val="2"/>
        <charset val="204"/>
      </rPr>
      <t xml:space="preserve">  14 </t>
    </r>
    <r>
      <rPr>
        <sz val="10"/>
        <rFont val="Arial Cyr"/>
        <family val="2"/>
        <charset val="204"/>
      </rPr>
      <t xml:space="preserve">" </t>
    </r>
    <r>
      <rPr>
        <u/>
        <sz val="10"/>
        <rFont val="Arial Cyr"/>
        <family val="2"/>
        <charset val="204"/>
      </rPr>
      <t xml:space="preserve"> января   </t>
    </r>
    <r>
      <rPr>
        <sz val="10"/>
        <rFont val="Arial Cyr"/>
        <family val="2"/>
        <charset val="204"/>
      </rPr>
      <t xml:space="preserve"> 20  26 г.</t>
    </r>
  </si>
  <si>
    <t xml:space="preserve">МП "Доступная среда" в городском поселении "Город Амурск"  </t>
  </si>
  <si>
    <t xml:space="preserve">МП "Защита населения и территории городского поселения «Город Амурск» от чрезвычайных ситуаций природного и техногенного характера, обеспечение первичных мер пожарной безопасности, обеспечение безопасности людей на водных объектах"    </t>
  </si>
  <si>
    <t xml:space="preserve">Мероприятия по защите населения и территории городского поселения от чрезвычайных ситуаций в рамках МП "Защита населения и  территории городского поселения «Город Амурск» от чрезвычайных ситуаций природного и техногенного характера, обеспечение первичных мер пожарной безопасности, обеспечение безопасности людей на водных объектах"  </t>
  </si>
  <si>
    <t xml:space="preserve">  Обеспечение первичных мер пожарной безопасности в рамках МП "Защита населения на территории городского поселения «Город Амурск» от чрезвычайных ситуаций природного и техногенного характера, обеспечение первичных мер пожарной безопасности, обеспечение безопасности людей на водных объектах"</t>
  </si>
  <si>
    <t xml:space="preserve">  Мероприятия направленные на обеспечение первичных мер пожарной безопасности для организации оповещения населения о пожаре в рамках МП "Защита населения и территории городского поселения «Город Амурск» от чрезвычайных ситуаций природного и техногенного характера, обеспечение первичных мер пожарной безопасности, обеспечение безопасности людей на водных объектах"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</si>
</sst>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0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u/>
      <sz val="10"/>
      <name val="Arial Cyr"/>
      <charset val="204"/>
    </font>
    <font>
      <b/>
      <u/>
      <sz val="11"/>
      <name val="Times New Roman"/>
      <family val="1"/>
      <charset val="204"/>
    </font>
    <font>
      <u/>
      <sz val="8"/>
      <name val="Arial Cyr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 Cyr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Arial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</font>
    <font>
      <sz val="10"/>
      <name val="Arial Cyr"/>
    </font>
    <font>
      <b/>
      <sz val="9"/>
      <name val="Arial Cyr"/>
      <family val="2"/>
      <charset val="204"/>
    </font>
    <font>
      <b/>
      <sz val="8"/>
      <name val="Arial Cyr"/>
    </font>
    <font>
      <sz val="8"/>
      <name val="Arial Cyr"/>
      <charset val="204"/>
    </font>
    <font>
      <b/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u/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" fontId="28" fillId="0" borderId="13">
      <alignment horizontal="left" wrapText="1"/>
    </xf>
    <xf numFmtId="49" fontId="28" fillId="0" borderId="21">
      <alignment horizontal="right" vertical="center" wrapText="1"/>
    </xf>
    <xf numFmtId="4" fontId="28" fillId="0" borderId="10">
      <alignment horizontal="right" vertical="center" wrapText="1"/>
    </xf>
    <xf numFmtId="0" fontId="28" fillId="0" borderId="21">
      <alignment horizontal="left" wrapText="1"/>
    </xf>
    <xf numFmtId="0" fontId="28" fillId="0" borderId="21">
      <alignment horizontal="center" wrapText="1"/>
    </xf>
    <xf numFmtId="0" fontId="32" fillId="0" borderId="0"/>
  </cellStyleXfs>
  <cellXfs count="203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/>
    <xf numFmtId="49" fontId="6" fillId="0" borderId="2" xfId="0" applyNumberFormat="1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right"/>
    </xf>
    <xf numFmtId="14" fontId="6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0" fontId="5" fillId="0" borderId="0" xfId="0" applyFont="1"/>
    <xf numFmtId="49" fontId="6" fillId="0" borderId="4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11" fillId="0" borderId="11" xfId="0" applyFont="1" applyBorder="1" applyAlignment="1">
      <alignment horizontal="left" wrapText="1"/>
    </xf>
    <xf numFmtId="49" fontId="10" fillId="0" borderId="7" xfId="0" applyNumberFormat="1" applyFont="1" applyBorder="1" applyAlignment="1">
      <alignment horizontal="center"/>
    </xf>
    <xf numFmtId="4" fontId="10" fillId="0" borderId="7" xfId="0" applyNumberFormat="1" applyFont="1" applyBorder="1"/>
    <xf numFmtId="4" fontId="12" fillId="0" borderId="7" xfId="0" applyNumberFormat="1" applyFont="1" applyBorder="1" applyAlignment="1">
      <alignment horizontal="right" shrinkToFit="1"/>
    </xf>
    <xf numFmtId="0" fontId="13" fillId="0" borderId="7" xfId="0" applyFont="1" applyBorder="1"/>
    <xf numFmtId="4" fontId="0" fillId="0" borderId="7" xfId="0" applyNumberFormat="1" applyBorder="1"/>
    <xf numFmtId="4" fontId="14" fillId="0" borderId="7" xfId="0" applyNumberFormat="1" applyFont="1" applyBorder="1" applyAlignment="1">
      <alignment horizontal="right" shrinkToFit="1"/>
    </xf>
    <xf numFmtId="49" fontId="0" fillId="0" borderId="12" xfId="0" applyNumberForma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center"/>
    </xf>
    <xf numFmtId="0" fontId="16" fillId="0" borderId="7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center"/>
    </xf>
    <xf numFmtId="0" fontId="17" fillId="0" borderId="7" xfId="0" applyFont="1" applyBorder="1" applyAlignment="1">
      <alignment horizontal="left" vertical="center" wrapText="1"/>
    </xf>
    <xf numFmtId="49" fontId="18" fillId="0" borderId="7" xfId="0" applyNumberFormat="1" applyFont="1" applyBorder="1" applyAlignment="1">
      <alignment horizontal="center"/>
    </xf>
    <xf numFmtId="49" fontId="19" fillId="0" borderId="12" xfId="0" applyNumberFormat="1" applyFont="1" applyBorder="1" applyAlignment="1">
      <alignment horizontal="center"/>
    </xf>
    <xf numFmtId="0" fontId="13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center" wrapText="1"/>
    </xf>
    <xf numFmtId="0" fontId="10" fillId="0" borderId="0" xfId="0" applyFont="1"/>
    <xf numFmtId="0" fontId="12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center"/>
    </xf>
    <xf numFmtId="0" fontId="21" fillId="0" borderId="7" xfId="0" applyFont="1" applyBorder="1" applyAlignment="1">
      <alignment horizontal="left" vertical="center" wrapText="1"/>
    </xf>
    <xf numFmtId="4" fontId="1" fillId="0" borderId="7" xfId="1" applyNumberFormat="1" applyBorder="1"/>
    <xf numFmtId="0" fontId="23" fillId="0" borderId="7" xfId="0" applyFont="1" applyBorder="1" applyAlignment="1">
      <alignment horizontal="left" vertical="center" wrapText="1"/>
    </xf>
    <xf numFmtId="49" fontId="24" fillId="0" borderId="7" xfId="0" applyNumberFormat="1" applyFont="1" applyBorder="1" applyAlignment="1">
      <alignment horizontal="center"/>
    </xf>
    <xf numFmtId="4" fontId="25" fillId="0" borderId="7" xfId="0" applyNumberFormat="1" applyFont="1" applyBorder="1"/>
    <xf numFmtId="0" fontId="20" fillId="0" borderId="7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top" wrapText="1"/>
    </xf>
    <xf numFmtId="4" fontId="29" fillId="0" borderId="13" xfId="2" applyFont="1" applyAlignment="1">
      <alignment horizontal="right" shrinkToFit="1"/>
    </xf>
    <xf numFmtId="4" fontId="4" fillId="0" borderId="7" xfId="0" applyNumberFormat="1" applyFont="1" applyBorder="1" applyAlignment="1">
      <alignment horizontal="right"/>
    </xf>
    <xf numFmtId="0" fontId="17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" fontId="0" fillId="0" borderId="0" xfId="0" applyNumberFormat="1"/>
    <xf numFmtId="49" fontId="7" fillId="0" borderId="0" xfId="0" applyNumberFormat="1" applyFont="1"/>
    <xf numFmtId="0" fontId="0" fillId="2" borderId="0" xfId="0" applyFill="1"/>
    <xf numFmtId="0" fontId="18" fillId="0" borderId="7" xfId="0" applyFont="1" applyBorder="1" applyAlignment="1">
      <alignment horizontal="center"/>
    </xf>
    <xf numFmtId="0" fontId="2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shrinkToFit="1"/>
    </xf>
    <xf numFmtId="1" fontId="6" fillId="0" borderId="7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right" shrinkToFit="1"/>
    </xf>
    <xf numFmtId="164" fontId="10" fillId="0" borderId="16" xfId="0" applyNumberFormat="1" applyFont="1" applyBorder="1" applyAlignment="1">
      <alignment horizontal="right" shrinkToFit="1"/>
    </xf>
    <xf numFmtId="0" fontId="0" fillId="3" borderId="0" xfId="0" applyFill="1"/>
    <xf numFmtId="0" fontId="12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shrinkToFit="1"/>
    </xf>
    <xf numFmtId="1" fontId="6" fillId="0" borderId="8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right" shrinkToFit="1"/>
    </xf>
    <xf numFmtId="164" fontId="0" fillId="0" borderId="16" xfId="0" applyNumberFormat="1" applyBorder="1" applyAlignment="1">
      <alignment horizontal="right" shrinkToFit="1"/>
    </xf>
    <xf numFmtId="0" fontId="26" fillId="0" borderId="19" xfId="0" applyFont="1" applyBorder="1" applyAlignment="1">
      <alignment horizontal="left" vertical="center" wrapText="1"/>
    </xf>
    <xf numFmtId="49" fontId="30" fillId="0" borderId="20" xfId="0" applyNumberFormat="1" applyFont="1" applyBorder="1" applyAlignment="1">
      <alignment horizontal="center" shrinkToFit="1"/>
    </xf>
    <xf numFmtId="49" fontId="11" fillId="0" borderId="21" xfId="3" applyFont="1" applyAlignment="1">
      <alignment horizontal="center" wrapText="1"/>
    </xf>
    <xf numFmtId="4" fontId="10" fillId="0" borderId="10" xfId="0" applyNumberFormat="1" applyFont="1" applyBorder="1" applyAlignment="1">
      <alignment horizontal="right" shrinkToFit="1"/>
    </xf>
    <xf numFmtId="164" fontId="10" fillId="0" borderId="22" xfId="0" applyNumberFormat="1" applyFont="1" applyBorder="1" applyAlignment="1">
      <alignment horizontal="right" shrinkToFit="1"/>
    </xf>
    <xf numFmtId="0" fontId="16" fillId="0" borderId="19" xfId="0" applyFont="1" applyBorder="1" applyAlignment="1">
      <alignment horizontal="left" vertical="center" wrapText="1"/>
    </xf>
    <xf numFmtId="49" fontId="31" fillId="0" borderId="21" xfId="3" applyFont="1" applyAlignment="1">
      <alignment horizontal="center" wrapText="1"/>
    </xf>
    <xf numFmtId="0" fontId="16" fillId="0" borderId="19" xfId="0" applyFont="1" applyBorder="1" applyAlignment="1">
      <alignment vertical="top" wrapText="1"/>
    </xf>
    <xf numFmtId="49" fontId="11" fillId="0" borderId="7" xfId="0" applyNumberFormat="1" applyFont="1" applyBorder="1" applyAlignment="1">
      <alignment horizontal="center"/>
    </xf>
    <xf numFmtId="0" fontId="26" fillId="0" borderId="19" xfId="0" applyFont="1" applyBorder="1" applyAlignment="1">
      <alignment vertical="top" wrapText="1"/>
    </xf>
    <xf numFmtId="0" fontId="27" fillId="0" borderId="19" xfId="0" applyFont="1" applyBorder="1" applyAlignment="1">
      <alignment vertical="top" wrapText="1"/>
    </xf>
    <xf numFmtId="49" fontId="32" fillId="0" borderId="7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right" shrinkToFit="1"/>
    </xf>
    <xf numFmtId="164" fontId="0" fillId="0" borderId="22" xfId="0" applyNumberFormat="1" applyBorder="1" applyAlignment="1">
      <alignment horizontal="right" shrinkToFit="1"/>
    </xf>
    <xf numFmtId="49" fontId="6" fillId="0" borderId="20" xfId="0" applyNumberFormat="1" applyFont="1" applyBorder="1" applyAlignment="1">
      <alignment horizontal="center" shrinkToFit="1"/>
    </xf>
    <xf numFmtId="49" fontId="18" fillId="0" borderId="20" xfId="0" applyNumberFormat="1" applyFont="1" applyBorder="1" applyAlignment="1">
      <alignment horizontal="center" shrinkToFit="1"/>
    </xf>
    <xf numFmtId="0" fontId="27" fillId="0" borderId="19" xfId="0" applyFont="1" applyBorder="1" applyAlignment="1">
      <alignment horizontal="left" vertical="top" wrapText="1"/>
    </xf>
    <xf numFmtId="0" fontId="33" fillId="0" borderId="19" xfId="0" applyFont="1" applyBorder="1" applyAlignment="1">
      <alignment vertical="top" wrapText="1"/>
    </xf>
    <xf numFmtId="0" fontId="26" fillId="0" borderId="19" xfId="0" applyFont="1" applyBorder="1" applyAlignment="1">
      <alignment horizontal="left" vertical="top" wrapText="1"/>
    </xf>
    <xf numFmtId="0" fontId="35" fillId="0" borderId="7" xfId="0" applyFont="1" applyBorder="1" applyAlignment="1">
      <alignment horizontal="left" vertical="top" wrapText="1"/>
    </xf>
    <xf numFmtId="0" fontId="35" fillId="0" borderId="22" xfId="0" applyFont="1" applyBorder="1" applyAlignment="1">
      <alignment horizontal="left" vertical="top" wrapText="1"/>
    </xf>
    <xf numFmtId="0" fontId="27" fillId="0" borderId="10" xfId="4" applyNumberFormat="1" applyFont="1" applyAlignment="1">
      <alignment vertical="top" wrapText="1"/>
    </xf>
    <xf numFmtId="49" fontId="28" fillId="0" borderId="21" xfId="5" applyNumberFormat="1" applyAlignment="1">
      <alignment horizontal="center" wrapText="1"/>
    </xf>
    <xf numFmtId="49" fontId="28" fillId="0" borderId="21" xfId="3" applyAlignment="1">
      <alignment horizontal="center" wrapText="1"/>
    </xf>
    <xf numFmtId="4" fontId="29" fillId="0" borderId="21" xfId="6" applyNumberFormat="1" applyFont="1" applyAlignment="1">
      <alignment horizontal="right" wrapText="1"/>
    </xf>
    <xf numFmtId="49" fontId="28" fillId="0" borderId="21" xfId="3" applyAlignment="1">
      <alignment horizontal="center"/>
    </xf>
    <xf numFmtId="0" fontId="35" fillId="0" borderId="17" xfId="0" applyFont="1" applyBorder="1" applyAlignment="1">
      <alignment vertical="top" wrapText="1"/>
    </xf>
    <xf numFmtId="49" fontId="11" fillId="0" borderId="10" xfId="0" applyNumberFormat="1" applyFont="1" applyBorder="1" applyAlignment="1">
      <alignment horizontal="center"/>
    </xf>
    <xf numFmtId="49" fontId="15" fillId="0" borderId="20" xfId="0" applyNumberFormat="1" applyFont="1" applyBorder="1" applyAlignment="1">
      <alignment horizontal="center" shrinkToFit="1"/>
    </xf>
    <xf numFmtId="0" fontId="0" fillId="4" borderId="0" xfId="0" applyFill="1"/>
    <xf numFmtId="0" fontId="0" fillId="5" borderId="0" xfId="0" applyFill="1"/>
    <xf numFmtId="0" fontId="36" fillId="0" borderId="23" xfId="0" applyFont="1" applyBorder="1" applyAlignment="1">
      <alignment vertical="top" wrapText="1"/>
    </xf>
    <xf numFmtId="0" fontId="36" fillId="0" borderId="23" xfId="0" applyFont="1" applyBorder="1" applyAlignment="1">
      <alignment horizontal="left" vertical="top" wrapText="1"/>
    </xf>
    <xf numFmtId="49" fontId="26" fillId="0" borderId="19" xfId="0" applyNumberFormat="1" applyFont="1" applyBorder="1" applyAlignment="1">
      <alignment vertical="top" wrapText="1"/>
    </xf>
    <xf numFmtId="0" fontId="37" fillId="0" borderId="23" xfId="0" applyFont="1" applyBorder="1" applyAlignment="1">
      <alignment vertical="top" wrapText="1"/>
    </xf>
    <xf numFmtId="0" fontId="38" fillId="0" borderId="19" xfId="0" applyFont="1" applyBorder="1" applyAlignment="1">
      <alignment vertical="top" wrapText="1"/>
    </xf>
    <xf numFmtId="0" fontId="16" fillId="0" borderId="23" xfId="0" applyFont="1" applyBorder="1" applyAlignment="1">
      <alignment vertical="top" wrapText="1"/>
    </xf>
    <xf numFmtId="0" fontId="26" fillId="0" borderId="22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35" fillId="0" borderId="22" xfId="0" applyFont="1" applyBorder="1" applyAlignment="1">
      <alignment vertical="top" wrapText="1"/>
    </xf>
    <xf numFmtId="49" fontId="32" fillId="0" borderId="10" xfId="0" applyNumberFormat="1" applyFont="1" applyBorder="1" applyAlignment="1">
      <alignment horizontal="center"/>
    </xf>
    <xf numFmtId="0" fontId="35" fillId="0" borderId="23" xfId="0" applyFont="1" applyBorder="1" applyAlignment="1">
      <alignment vertical="top" wrapText="1"/>
    </xf>
    <xf numFmtId="0" fontId="36" fillId="0" borderId="22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0" fontId="36" fillId="0" borderId="24" xfId="0" applyFont="1" applyBorder="1" applyAlignment="1">
      <alignment vertical="top" wrapText="1"/>
    </xf>
    <xf numFmtId="0" fontId="37" fillId="0" borderId="17" xfId="0" applyFont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35" fillId="0" borderId="26" xfId="0" applyFont="1" applyBorder="1" applyAlignment="1">
      <alignment vertical="center" wrapText="1"/>
    </xf>
    <xf numFmtId="49" fontId="6" fillId="0" borderId="27" xfId="0" applyNumberFormat="1" applyFont="1" applyBorder="1" applyAlignment="1">
      <alignment horizontal="center" shrinkToFit="1"/>
    </xf>
    <xf numFmtId="49" fontId="11" fillId="0" borderId="27" xfId="0" applyNumberFormat="1" applyFont="1" applyBorder="1" applyAlignment="1">
      <alignment horizontal="center"/>
    </xf>
    <xf numFmtId="4" fontId="10" fillId="0" borderId="27" xfId="0" applyNumberFormat="1" applyFont="1" applyBorder="1" applyAlignment="1">
      <alignment horizontal="right" shrinkToFit="1"/>
    </xf>
    <xf numFmtId="164" fontId="10" fillId="0" borderId="27" xfId="0" applyNumberFormat="1" applyFont="1" applyBorder="1" applyAlignment="1">
      <alignment horizontal="right" shrinkToFit="1"/>
    </xf>
    <xf numFmtId="0" fontId="27" fillId="0" borderId="28" xfId="0" applyFont="1" applyBorder="1" applyAlignment="1">
      <alignment horizontal="left" wrapText="1"/>
    </xf>
    <xf numFmtId="1" fontId="6" fillId="0" borderId="29" xfId="0" applyNumberFormat="1" applyFont="1" applyBorder="1" applyAlignment="1">
      <alignment horizontal="center" shrinkToFit="1"/>
    </xf>
    <xf numFmtId="1" fontId="6" fillId="0" borderId="30" xfId="0" applyNumberFormat="1" applyFont="1" applyBorder="1" applyAlignment="1">
      <alignment horizontal="center"/>
    </xf>
    <xf numFmtId="4" fontId="0" fillId="0" borderId="30" xfId="0" applyNumberFormat="1" applyBorder="1"/>
    <xf numFmtId="1" fontId="0" fillId="0" borderId="31" xfId="0" applyNumberFormat="1" applyBorder="1" applyAlignment="1">
      <alignment horizontal="center"/>
    </xf>
    <xf numFmtId="0" fontId="16" fillId="0" borderId="0" xfId="0" applyFont="1"/>
    <xf numFmtId="49" fontId="32" fillId="0" borderId="0" xfId="0" applyNumberFormat="1" applyFont="1" applyAlignment="1">
      <alignment horizontal="center"/>
    </xf>
    <xf numFmtId="4" fontId="10" fillId="0" borderId="0" xfId="0" applyNumberFormat="1" applyFont="1"/>
    <xf numFmtId="0" fontId="13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right"/>
    </xf>
    <xf numFmtId="2" fontId="16" fillId="0" borderId="7" xfId="0" applyNumberFormat="1" applyFont="1" applyBorder="1" applyAlignment="1">
      <alignment horizontal="center" vertical="center" wrapText="1"/>
    </xf>
    <xf numFmtId="0" fontId="20" fillId="0" borderId="8" xfId="7" applyFont="1" applyBorder="1" applyAlignment="1">
      <alignment horizontal="center" vertical="center" wrapText="1"/>
    </xf>
    <xf numFmtId="2" fontId="16" fillId="0" borderId="8" xfId="0" applyNumberFormat="1" applyFont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center" vertical="center" shrinkToFit="1"/>
    </xf>
    <xf numFmtId="1" fontId="32" fillId="0" borderId="33" xfId="0" applyNumberFormat="1" applyFont="1" applyBorder="1" applyAlignment="1">
      <alignment horizontal="center" vertical="center"/>
    </xf>
    <xf numFmtId="164" fontId="0" fillId="0" borderId="33" xfId="0" applyNumberFormat="1" applyBorder="1" applyAlignment="1">
      <alignment horizontal="right" shrinkToFit="1"/>
    </xf>
    <xf numFmtId="4" fontId="0" fillId="0" borderId="34" xfId="0" applyNumberFormat="1" applyBorder="1" applyAlignment="1">
      <alignment horizontal="right"/>
    </xf>
    <xf numFmtId="0" fontId="17" fillId="0" borderId="35" xfId="0" applyFont="1" applyBorder="1" applyAlignment="1">
      <alignment horizontal="left" vertical="center" wrapText="1" indent="2"/>
    </xf>
    <xf numFmtId="0" fontId="32" fillId="0" borderId="18" xfId="0" applyFont="1" applyBorder="1" applyAlignment="1">
      <alignment horizontal="center" vertical="center" shrinkToFit="1"/>
    </xf>
    <xf numFmtId="1" fontId="32" fillId="0" borderId="8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right" shrinkToFit="1"/>
    </xf>
    <xf numFmtId="0" fontId="17" fillId="0" borderId="17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center" vertical="center" shrinkToFit="1"/>
    </xf>
    <xf numFmtId="1" fontId="32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shrinkToFit="1"/>
    </xf>
    <xf numFmtId="164" fontId="0" fillId="0" borderId="24" xfId="0" applyNumberFormat="1" applyBorder="1" applyAlignment="1">
      <alignment horizontal="right" shrinkToFit="1"/>
    </xf>
    <xf numFmtId="0" fontId="17" fillId="0" borderId="36" xfId="0" applyFont="1" applyBorder="1" applyAlignment="1">
      <alignment horizontal="left" vertical="center" wrapText="1" indent="2"/>
    </xf>
    <xf numFmtId="0" fontId="17" fillId="0" borderId="19" xfId="0" applyFont="1" applyBorder="1" applyAlignment="1">
      <alignment horizontal="left" vertical="center" wrapText="1"/>
    </xf>
    <xf numFmtId="49" fontId="32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right" shrinkToFit="1"/>
    </xf>
    <xf numFmtId="0" fontId="17" fillId="0" borderId="37" xfId="0" applyFont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 shrinkToFit="1"/>
    </xf>
    <xf numFmtId="49" fontId="32" fillId="0" borderId="7" xfId="0" applyNumberFormat="1" applyFont="1" applyBorder="1" applyAlignment="1">
      <alignment horizontal="center" vertical="center"/>
    </xf>
    <xf numFmtId="0" fontId="17" fillId="0" borderId="38" xfId="0" applyFont="1" applyBorder="1" applyAlignment="1">
      <alignment horizontal="left" vertical="center" wrapText="1"/>
    </xf>
    <xf numFmtId="164" fontId="0" fillId="0" borderId="24" xfId="0" applyNumberFormat="1" applyBorder="1" applyAlignment="1">
      <alignment shrinkToFit="1"/>
    </xf>
    <xf numFmtId="164" fontId="0" fillId="0" borderId="24" xfId="0" applyNumberFormat="1" applyBorder="1" applyAlignment="1">
      <alignment horizontal="center" shrinkToFit="1"/>
    </xf>
    <xf numFmtId="4" fontId="0" fillId="0" borderId="7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center"/>
    </xf>
    <xf numFmtId="4" fontId="0" fillId="0" borderId="10" xfId="0" applyNumberFormat="1" applyBorder="1"/>
    <xf numFmtId="164" fontId="0" fillId="0" borderId="10" xfId="0" applyNumberFormat="1" applyBorder="1" applyAlignment="1">
      <alignment shrinkToFit="1"/>
    </xf>
    <xf numFmtId="0" fontId="32" fillId="0" borderId="39" xfId="0" applyFont="1" applyBorder="1" applyAlignment="1">
      <alignment horizontal="center" vertical="center" shrinkToFit="1"/>
    </xf>
    <xf numFmtId="49" fontId="32" fillId="0" borderId="40" xfId="0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shrinkToFit="1"/>
    </xf>
    <xf numFmtId="164" fontId="0" fillId="0" borderId="40" xfId="0" applyNumberFormat="1" applyBorder="1" applyAlignment="1">
      <alignment horizontal="right" shrinkToFit="1"/>
    </xf>
    <xf numFmtId="164" fontId="0" fillId="0" borderId="41" xfId="0" applyNumberFormat="1" applyBorder="1" applyAlignment="1">
      <alignment horizontal="center" shrinkToFi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0" xfId="1" applyFont="1" applyAlignment="1">
      <alignment horizontal="left"/>
    </xf>
    <xf numFmtId="49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8">
    <cellStyle name="xl53" xfId="2" xr:uid="{709222B6-073E-440B-B7F3-A152A0520688}"/>
    <cellStyle name="xl73" xfId="4" xr:uid="{0482A169-A46C-411A-B65A-9187C7C38B71}"/>
    <cellStyle name="xl79" xfId="5" xr:uid="{3A0937E2-AD72-43E1-A34B-FBD2665C7554}"/>
    <cellStyle name="xl84" xfId="3" xr:uid="{0BEE0DBC-038F-440F-964D-1720BBBD1396}"/>
    <cellStyle name="xl88" xfId="6" xr:uid="{50F64301-3909-4E6C-83FF-E576928FA7F9}"/>
    <cellStyle name="Обычный" xfId="0" builtinId="0"/>
    <cellStyle name="Обычный 2 2" xfId="1" xr:uid="{EDCFD4C7-4E40-4F51-9002-89492FB4021C}"/>
    <cellStyle name="Обычный_Январь 2006 года 22001 - Амурский Форма 42803" xfId="7" xr:uid="{0E091BFF-99E7-4F17-8E94-F4124080AA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39A7-E07C-486C-8074-9A89063E8689}">
  <dimension ref="A1:CQ1103"/>
  <sheetViews>
    <sheetView tabSelected="1" zoomScale="90" zoomScaleNormal="90" zoomScaleSheetLayoutView="90" workbookViewId="0">
      <selection activeCell="A568" sqref="A568"/>
    </sheetView>
  </sheetViews>
  <sheetFormatPr defaultRowHeight="12.5" x14ac:dyDescent="0.25"/>
  <cols>
    <col min="1" max="1" width="33" customWidth="1"/>
    <col min="2" max="2" width="4.7265625" style="182" customWidth="1"/>
    <col min="3" max="3" width="21" style="182" customWidth="1"/>
    <col min="4" max="4" width="15" customWidth="1"/>
    <col min="5" max="5" width="16.54296875" customWidth="1"/>
    <col min="6" max="6" width="15.453125" customWidth="1"/>
    <col min="7" max="81" width="9.26953125" customWidth="1"/>
    <col min="257" max="257" width="33" customWidth="1"/>
    <col min="258" max="258" width="4.7265625" customWidth="1"/>
    <col min="259" max="259" width="21" customWidth="1"/>
    <col min="260" max="260" width="15" customWidth="1"/>
    <col min="261" max="261" width="16.54296875" customWidth="1"/>
    <col min="262" max="262" width="15.453125" customWidth="1"/>
    <col min="263" max="337" width="9.26953125" customWidth="1"/>
    <col min="513" max="513" width="33" customWidth="1"/>
    <col min="514" max="514" width="4.7265625" customWidth="1"/>
    <col min="515" max="515" width="21" customWidth="1"/>
    <col min="516" max="516" width="15" customWidth="1"/>
    <col min="517" max="517" width="16.54296875" customWidth="1"/>
    <col min="518" max="518" width="15.453125" customWidth="1"/>
    <col min="519" max="593" width="9.26953125" customWidth="1"/>
    <col min="769" max="769" width="33" customWidth="1"/>
    <col min="770" max="770" width="4.7265625" customWidth="1"/>
    <col min="771" max="771" width="21" customWidth="1"/>
    <col min="772" max="772" width="15" customWidth="1"/>
    <col min="773" max="773" width="16.54296875" customWidth="1"/>
    <col min="774" max="774" width="15.453125" customWidth="1"/>
    <col min="775" max="849" width="9.26953125" customWidth="1"/>
    <col min="1025" max="1025" width="33" customWidth="1"/>
    <col min="1026" max="1026" width="4.7265625" customWidth="1"/>
    <col min="1027" max="1027" width="21" customWidth="1"/>
    <col min="1028" max="1028" width="15" customWidth="1"/>
    <col min="1029" max="1029" width="16.54296875" customWidth="1"/>
    <col min="1030" max="1030" width="15.453125" customWidth="1"/>
    <col min="1031" max="1105" width="9.26953125" customWidth="1"/>
    <col min="1281" max="1281" width="33" customWidth="1"/>
    <col min="1282" max="1282" width="4.7265625" customWidth="1"/>
    <col min="1283" max="1283" width="21" customWidth="1"/>
    <col min="1284" max="1284" width="15" customWidth="1"/>
    <col min="1285" max="1285" width="16.54296875" customWidth="1"/>
    <col min="1286" max="1286" width="15.453125" customWidth="1"/>
    <col min="1287" max="1361" width="9.26953125" customWidth="1"/>
    <col min="1537" max="1537" width="33" customWidth="1"/>
    <col min="1538" max="1538" width="4.7265625" customWidth="1"/>
    <col min="1539" max="1539" width="21" customWidth="1"/>
    <col min="1540" max="1540" width="15" customWidth="1"/>
    <col min="1541" max="1541" width="16.54296875" customWidth="1"/>
    <col min="1542" max="1542" width="15.453125" customWidth="1"/>
    <col min="1543" max="1617" width="9.26953125" customWidth="1"/>
    <col min="1793" max="1793" width="33" customWidth="1"/>
    <col min="1794" max="1794" width="4.7265625" customWidth="1"/>
    <col min="1795" max="1795" width="21" customWidth="1"/>
    <col min="1796" max="1796" width="15" customWidth="1"/>
    <col min="1797" max="1797" width="16.54296875" customWidth="1"/>
    <col min="1798" max="1798" width="15.453125" customWidth="1"/>
    <col min="1799" max="1873" width="9.26953125" customWidth="1"/>
    <col min="2049" max="2049" width="33" customWidth="1"/>
    <col min="2050" max="2050" width="4.7265625" customWidth="1"/>
    <col min="2051" max="2051" width="21" customWidth="1"/>
    <col min="2052" max="2052" width="15" customWidth="1"/>
    <col min="2053" max="2053" width="16.54296875" customWidth="1"/>
    <col min="2054" max="2054" width="15.453125" customWidth="1"/>
    <col min="2055" max="2129" width="9.26953125" customWidth="1"/>
    <col min="2305" max="2305" width="33" customWidth="1"/>
    <col min="2306" max="2306" width="4.7265625" customWidth="1"/>
    <col min="2307" max="2307" width="21" customWidth="1"/>
    <col min="2308" max="2308" width="15" customWidth="1"/>
    <col min="2309" max="2309" width="16.54296875" customWidth="1"/>
    <col min="2310" max="2310" width="15.453125" customWidth="1"/>
    <col min="2311" max="2385" width="9.26953125" customWidth="1"/>
    <col min="2561" max="2561" width="33" customWidth="1"/>
    <col min="2562" max="2562" width="4.7265625" customWidth="1"/>
    <col min="2563" max="2563" width="21" customWidth="1"/>
    <col min="2564" max="2564" width="15" customWidth="1"/>
    <col min="2565" max="2565" width="16.54296875" customWidth="1"/>
    <col min="2566" max="2566" width="15.453125" customWidth="1"/>
    <col min="2567" max="2641" width="9.26953125" customWidth="1"/>
    <col min="2817" max="2817" width="33" customWidth="1"/>
    <col min="2818" max="2818" width="4.7265625" customWidth="1"/>
    <col min="2819" max="2819" width="21" customWidth="1"/>
    <col min="2820" max="2820" width="15" customWidth="1"/>
    <col min="2821" max="2821" width="16.54296875" customWidth="1"/>
    <col min="2822" max="2822" width="15.453125" customWidth="1"/>
    <col min="2823" max="2897" width="9.26953125" customWidth="1"/>
    <col min="3073" max="3073" width="33" customWidth="1"/>
    <col min="3074" max="3074" width="4.7265625" customWidth="1"/>
    <col min="3075" max="3075" width="21" customWidth="1"/>
    <col min="3076" max="3076" width="15" customWidth="1"/>
    <col min="3077" max="3077" width="16.54296875" customWidth="1"/>
    <col min="3078" max="3078" width="15.453125" customWidth="1"/>
    <col min="3079" max="3153" width="9.26953125" customWidth="1"/>
    <col min="3329" max="3329" width="33" customWidth="1"/>
    <col min="3330" max="3330" width="4.7265625" customWidth="1"/>
    <col min="3331" max="3331" width="21" customWidth="1"/>
    <col min="3332" max="3332" width="15" customWidth="1"/>
    <col min="3333" max="3333" width="16.54296875" customWidth="1"/>
    <col min="3334" max="3334" width="15.453125" customWidth="1"/>
    <col min="3335" max="3409" width="9.26953125" customWidth="1"/>
    <col min="3585" max="3585" width="33" customWidth="1"/>
    <col min="3586" max="3586" width="4.7265625" customWidth="1"/>
    <col min="3587" max="3587" width="21" customWidth="1"/>
    <col min="3588" max="3588" width="15" customWidth="1"/>
    <col min="3589" max="3589" width="16.54296875" customWidth="1"/>
    <col min="3590" max="3590" width="15.453125" customWidth="1"/>
    <col min="3591" max="3665" width="9.26953125" customWidth="1"/>
    <col min="3841" max="3841" width="33" customWidth="1"/>
    <col min="3842" max="3842" width="4.7265625" customWidth="1"/>
    <col min="3843" max="3843" width="21" customWidth="1"/>
    <col min="3844" max="3844" width="15" customWidth="1"/>
    <col min="3845" max="3845" width="16.54296875" customWidth="1"/>
    <col min="3846" max="3846" width="15.453125" customWidth="1"/>
    <col min="3847" max="3921" width="9.26953125" customWidth="1"/>
    <col min="4097" max="4097" width="33" customWidth="1"/>
    <col min="4098" max="4098" width="4.7265625" customWidth="1"/>
    <col min="4099" max="4099" width="21" customWidth="1"/>
    <col min="4100" max="4100" width="15" customWidth="1"/>
    <col min="4101" max="4101" width="16.54296875" customWidth="1"/>
    <col min="4102" max="4102" width="15.453125" customWidth="1"/>
    <col min="4103" max="4177" width="9.26953125" customWidth="1"/>
    <col min="4353" max="4353" width="33" customWidth="1"/>
    <col min="4354" max="4354" width="4.7265625" customWidth="1"/>
    <col min="4355" max="4355" width="21" customWidth="1"/>
    <col min="4356" max="4356" width="15" customWidth="1"/>
    <col min="4357" max="4357" width="16.54296875" customWidth="1"/>
    <col min="4358" max="4358" width="15.453125" customWidth="1"/>
    <col min="4359" max="4433" width="9.26953125" customWidth="1"/>
    <col min="4609" max="4609" width="33" customWidth="1"/>
    <col min="4610" max="4610" width="4.7265625" customWidth="1"/>
    <col min="4611" max="4611" width="21" customWidth="1"/>
    <col min="4612" max="4612" width="15" customWidth="1"/>
    <col min="4613" max="4613" width="16.54296875" customWidth="1"/>
    <col min="4614" max="4614" width="15.453125" customWidth="1"/>
    <col min="4615" max="4689" width="9.26953125" customWidth="1"/>
    <col min="4865" max="4865" width="33" customWidth="1"/>
    <col min="4866" max="4866" width="4.7265625" customWidth="1"/>
    <col min="4867" max="4867" width="21" customWidth="1"/>
    <col min="4868" max="4868" width="15" customWidth="1"/>
    <col min="4869" max="4869" width="16.54296875" customWidth="1"/>
    <col min="4870" max="4870" width="15.453125" customWidth="1"/>
    <col min="4871" max="4945" width="9.26953125" customWidth="1"/>
    <col min="5121" max="5121" width="33" customWidth="1"/>
    <col min="5122" max="5122" width="4.7265625" customWidth="1"/>
    <col min="5123" max="5123" width="21" customWidth="1"/>
    <col min="5124" max="5124" width="15" customWidth="1"/>
    <col min="5125" max="5125" width="16.54296875" customWidth="1"/>
    <col min="5126" max="5126" width="15.453125" customWidth="1"/>
    <col min="5127" max="5201" width="9.26953125" customWidth="1"/>
    <col min="5377" max="5377" width="33" customWidth="1"/>
    <col min="5378" max="5378" width="4.7265625" customWidth="1"/>
    <col min="5379" max="5379" width="21" customWidth="1"/>
    <col min="5380" max="5380" width="15" customWidth="1"/>
    <col min="5381" max="5381" width="16.54296875" customWidth="1"/>
    <col min="5382" max="5382" width="15.453125" customWidth="1"/>
    <col min="5383" max="5457" width="9.26953125" customWidth="1"/>
    <col min="5633" max="5633" width="33" customWidth="1"/>
    <col min="5634" max="5634" width="4.7265625" customWidth="1"/>
    <col min="5635" max="5635" width="21" customWidth="1"/>
    <col min="5636" max="5636" width="15" customWidth="1"/>
    <col min="5637" max="5637" width="16.54296875" customWidth="1"/>
    <col min="5638" max="5638" width="15.453125" customWidth="1"/>
    <col min="5639" max="5713" width="9.26953125" customWidth="1"/>
    <col min="5889" max="5889" width="33" customWidth="1"/>
    <col min="5890" max="5890" width="4.7265625" customWidth="1"/>
    <col min="5891" max="5891" width="21" customWidth="1"/>
    <col min="5892" max="5892" width="15" customWidth="1"/>
    <col min="5893" max="5893" width="16.54296875" customWidth="1"/>
    <col min="5894" max="5894" width="15.453125" customWidth="1"/>
    <col min="5895" max="5969" width="9.26953125" customWidth="1"/>
    <col min="6145" max="6145" width="33" customWidth="1"/>
    <col min="6146" max="6146" width="4.7265625" customWidth="1"/>
    <col min="6147" max="6147" width="21" customWidth="1"/>
    <col min="6148" max="6148" width="15" customWidth="1"/>
    <col min="6149" max="6149" width="16.54296875" customWidth="1"/>
    <col min="6150" max="6150" width="15.453125" customWidth="1"/>
    <col min="6151" max="6225" width="9.26953125" customWidth="1"/>
    <col min="6401" max="6401" width="33" customWidth="1"/>
    <col min="6402" max="6402" width="4.7265625" customWidth="1"/>
    <col min="6403" max="6403" width="21" customWidth="1"/>
    <col min="6404" max="6404" width="15" customWidth="1"/>
    <col min="6405" max="6405" width="16.54296875" customWidth="1"/>
    <col min="6406" max="6406" width="15.453125" customWidth="1"/>
    <col min="6407" max="6481" width="9.26953125" customWidth="1"/>
    <col min="6657" max="6657" width="33" customWidth="1"/>
    <col min="6658" max="6658" width="4.7265625" customWidth="1"/>
    <col min="6659" max="6659" width="21" customWidth="1"/>
    <col min="6660" max="6660" width="15" customWidth="1"/>
    <col min="6661" max="6661" width="16.54296875" customWidth="1"/>
    <col min="6662" max="6662" width="15.453125" customWidth="1"/>
    <col min="6663" max="6737" width="9.26953125" customWidth="1"/>
    <col min="6913" max="6913" width="33" customWidth="1"/>
    <col min="6914" max="6914" width="4.7265625" customWidth="1"/>
    <col min="6915" max="6915" width="21" customWidth="1"/>
    <col min="6916" max="6916" width="15" customWidth="1"/>
    <col min="6917" max="6917" width="16.54296875" customWidth="1"/>
    <col min="6918" max="6918" width="15.453125" customWidth="1"/>
    <col min="6919" max="6993" width="9.26953125" customWidth="1"/>
    <col min="7169" max="7169" width="33" customWidth="1"/>
    <col min="7170" max="7170" width="4.7265625" customWidth="1"/>
    <col min="7171" max="7171" width="21" customWidth="1"/>
    <col min="7172" max="7172" width="15" customWidth="1"/>
    <col min="7173" max="7173" width="16.54296875" customWidth="1"/>
    <col min="7174" max="7174" width="15.453125" customWidth="1"/>
    <col min="7175" max="7249" width="9.26953125" customWidth="1"/>
    <col min="7425" max="7425" width="33" customWidth="1"/>
    <col min="7426" max="7426" width="4.7265625" customWidth="1"/>
    <col min="7427" max="7427" width="21" customWidth="1"/>
    <col min="7428" max="7428" width="15" customWidth="1"/>
    <col min="7429" max="7429" width="16.54296875" customWidth="1"/>
    <col min="7430" max="7430" width="15.453125" customWidth="1"/>
    <col min="7431" max="7505" width="9.26953125" customWidth="1"/>
    <col min="7681" max="7681" width="33" customWidth="1"/>
    <col min="7682" max="7682" width="4.7265625" customWidth="1"/>
    <col min="7683" max="7683" width="21" customWidth="1"/>
    <col min="7684" max="7684" width="15" customWidth="1"/>
    <col min="7685" max="7685" width="16.54296875" customWidth="1"/>
    <col min="7686" max="7686" width="15.453125" customWidth="1"/>
    <col min="7687" max="7761" width="9.26953125" customWidth="1"/>
    <col min="7937" max="7937" width="33" customWidth="1"/>
    <col min="7938" max="7938" width="4.7265625" customWidth="1"/>
    <col min="7939" max="7939" width="21" customWidth="1"/>
    <col min="7940" max="7940" width="15" customWidth="1"/>
    <col min="7941" max="7941" width="16.54296875" customWidth="1"/>
    <col min="7942" max="7942" width="15.453125" customWidth="1"/>
    <col min="7943" max="8017" width="9.26953125" customWidth="1"/>
    <col min="8193" max="8193" width="33" customWidth="1"/>
    <col min="8194" max="8194" width="4.7265625" customWidth="1"/>
    <col min="8195" max="8195" width="21" customWidth="1"/>
    <col min="8196" max="8196" width="15" customWidth="1"/>
    <col min="8197" max="8197" width="16.54296875" customWidth="1"/>
    <col min="8198" max="8198" width="15.453125" customWidth="1"/>
    <col min="8199" max="8273" width="9.26953125" customWidth="1"/>
    <col min="8449" max="8449" width="33" customWidth="1"/>
    <col min="8450" max="8450" width="4.7265625" customWidth="1"/>
    <col min="8451" max="8451" width="21" customWidth="1"/>
    <col min="8452" max="8452" width="15" customWidth="1"/>
    <col min="8453" max="8453" width="16.54296875" customWidth="1"/>
    <col min="8454" max="8454" width="15.453125" customWidth="1"/>
    <col min="8455" max="8529" width="9.26953125" customWidth="1"/>
    <col min="8705" max="8705" width="33" customWidth="1"/>
    <col min="8706" max="8706" width="4.7265625" customWidth="1"/>
    <col min="8707" max="8707" width="21" customWidth="1"/>
    <col min="8708" max="8708" width="15" customWidth="1"/>
    <col min="8709" max="8709" width="16.54296875" customWidth="1"/>
    <col min="8710" max="8710" width="15.453125" customWidth="1"/>
    <col min="8711" max="8785" width="9.26953125" customWidth="1"/>
    <col min="8961" max="8961" width="33" customWidth="1"/>
    <col min="8962" max="8962" width="4.7265625" customWidth="1"/>
    <col min="8963" max="8963" width="21" customWidth="1"/>
    <col min="8964" max="8964" width="15" customWidth="1"/>
    <col min="8965" max="8965" width="16.54296875" customWidth="1"/>
    <col min="8966" max="8966" width="15.453125" customWidth="1"/>
    <col min="8967" max="9041" width="9.26953125" customWidth="1"/>
    <col min="9217" max="9217" width="33" customWidth="1"/>
    <col min="9218" max="9218" width="4.7265625" customWidth="1"/>
    <col min="9219" max="9219" width="21" customWidth="1"/>
    <col min="9220" max="9220" width="15" customWidth="1"/>
    <col min="9221" max="9221" width="16.54296875" customWidth="1"/>
    <col min="9222" max="9222" width="15.453125" customWidth="1"/>
    <col min="9223" max="9297" width="9.26953125" customWidth="1"/>
    <col min="9473" max="9473" width="33" customWidth="1"/>
    <col min="9474" max="9474" width="4.7265625" customWidth="1"/>
    <col min="9475" max="9475" width="21" customWidth="1"/>
    <col min="9476" max="9476" width="15" customWidth="1"/>
    <col min="9477" max="9477" width="16.54296875" customWidth="1"/>
    <col min="9478" max="9478" width="15.453125" customWidth="1"/>
    <col min="9479" max="9553" width="9.26953125" customWidth="1"/>
    <col min="9729" max="9729" width="33" customWidth="1"/>
    <col min="9730" max="9730" width="4.7265625" customWidth="1"/>
    <col min="9731" max="9731" width="21" customWidth="1"/>
    <col min="9732" max="9732" width="15" customWidth="1"/>
    <col min="9733" max="9733" width="16.54296875" customWidth="1"/>
    <col min="9734" max="9734" width="15.453125" customWidth="1"/>
    <col min="9735" max="9809" width="9.26953125" customWidth="1"/>
    <col min="9985" max="9985" width="33" customWidth="1"/>
    <col min="9986" max="9986" width="4.7265625" customWidth="1"/>
    <col min="9987" max="9987" width="21" customWidth="1"/>
    <col min="9988" max="9988" width="15" customWidth="1"/>
    <col min="9989" max="9989" width="16.54296875" customWidth="1"/>
    <col min="9990" max="9990" width="15.453125" customWidth="1"/>
    <col min="9991" max="10065" width="9.26953125" customWidth="1"/>
    <col min="10241" max="10241" width="33" customWidth="1"/>
    <col min="10242" max="10242" width="4.7265625" customWidth="1"/>
    <col min="10243" max="10243" width="21" customWidth="1"/>
    <col min="10244" max="10244" width="15" customWidth="1"/>
    <col min="10245" max="10245" width="16.54296875" customWidth="1"/>
    <col min="10246" max="10246" width="15.453125" customWidth="1"/>
    <col min="10247" max="10321" width="9.26953125" customWidth="1"/>
    <col min="10497" max="10497" width="33" customWidth="1"/>
    <col min="10498" max="10498" width="4.7265625" customWidth="1"/>
    <col min="10499" max="10499" width="21" customWidth="1"/>
    <col min="10500" max="10500" width="15" customWidth="1"/>
    <col min="10501" max="10501" width="16.54296875" customWidth="1"/>
    <col min="10502" max="10502" width="15.453125" customWidth="1"/>
    <col min="10503" max="10577" width="9.26953125" customWidth="1"/>
    <col min="10753" max="10753" width="33" customWidth="1"/>
    <col min="10754" max="10754" width="4.7265625" customWidth="1"/>
    <col min="10755" max="10755" width="21" customWidth="1"/>
    <col min="10756" max="10756" width="15" customWidth="1"/>
    <col min="10757" max="10757" width="16.54296875" customWidth="1"/>
    <col min="10758" max="10758" width="15.453125" customWidth="1"/>
    <col min="10759" max="10833" width="9.26953125" customWidth="1"/>
    <col min="11009" max="11009" width="33" customWidth="1"/>
    <col min="11010" max="11010" width="4.7265625" customWidth="1"/>
    <col min="11011" max="11011" width="21" customWidth="1"/>
    <col min="11012" max="11012" width="15" customWidth="1"/>
    <col min="11013" max="11013" width="16.54296875" customWidth="1"/>
    <col min="11014" max="11014" width="15.453125" customWidth="1"/>
    <col min="11015" max="11089" width="9.26953125" customWidth="1"/>
    <col min="11265" max="11265" width="33" customWidth="1"/>
    <col min="11266" max="11266" width="4.7265625" customWidth="1"/>
    <col min="11267" max="11267" width="21" customWidth="1"/>
    <col min="11268" max="11268" width="15" customWidth="1"/>
    <col min="11269" max="11269" width="16.54296875" customWidth="1"/>
    <col min="11270" max="11270" width="15.453125" customWidth="1"/>
    <col min="11271" max="11345" width="9.26953125" customWidth="1"/>
    <col min="11521" max="11521" width="33" customWidth="1"/>
    <col min="11522" max="11522" width="4.7265625" customWidth="1"/>
    <col min="11523" max="11523" width="21" customWidth="1"/>
    <col min="11524" max="11524" width="15" customWidth="1"/>
    <col min="11525" max="11525" width="16.54296875" customWidth="1"/>
    <col min="11526" max="11526" width="15.453125" customWidth="1"/>
    <col min="11527" max="11601" width="9.26953125" customWidth="1"/>
    <col min="11777" max="11777" width="33" customWidth="1"/>
    <col min="11778" max="11778" width="4.7265625" customWidth="1"/>
    <col min="11779" max="11779" width="21" customWidth="1"/>
    <col min="11780" max="11780" width="15" customWidth="1"/>
    <col min="11781" max="11781" width="16.54296875" customWidth="1"/>
    <col min="11782" max="11782" width="15.453125" customWidth="1"/>
    <col min="11783" max="11857" width="9.26953125" customWidth="1"/>
    <col min="12033" max="12033" width="33" customWidth="1"/>
    <col min="12034" max="12034" width="4.7265625" customWidth="1"/>
    <col min="12035" max="12035" width="21" customWidth="1"/>
    <col min="12036" max="12036" width="15" customWidth="1"/>
    <col min="12037" max="12037" width="16.54296875" customWidth="1"/>
    <col min="12038" max="12038" width="15.453125" customWidth="1"/>
    <col min="12039" max="12113" width="9.26953125" customWidth="1"/>
    <col min="12289" max="12289" width="33" customWidth="1"/>
    <col min="12290" max="12290" width="4.7265625" customWidth="1"/>
    <col min="12291" max="12291" width="21" customWidth="1"/>
    <col min="12292" max="12292" width="15" customWidth="1"/>
    <col min="12293" max="12293" width="16.54296875" customWidth="1"/>
    <col min="12294" max="12294" width="15.453125" customWidth="1"/>
    <col min="12295" max="12369" width="9.26953125" customWidth="1"/>
    <col min="12545" max="12545" width="33" customWidth="1"/>
    <col min="12546" max="12546" width="4.7265625" customWidth="1"/>
    <col min="12547" max="12547" width="21" customWidth="1"/>
    <col min="12548" max="12548" width="15" customWidth="1"/>
    <col min="12549" max="12549" width="16.54296875" customWidth="1"/>
    <col min="12550" max="12550" width="15.453125" customWidth="1"/>
    <col min="12551" max="12625" width="9.26953125" customWidth="1"/>
    <col min="12801" max="12801" width="33" customWidth="1"/>
    <col min="12802" max="12802" width="4.7265625" customWidth="1"/>
    <col min="12803" max="12803" width="21" customWidth="1"/>
    <col min="12804" max="12804" width="15" customWidth="1"/>
    <col min="12805" max="12805" width="16.54296875" customWidth="1"/>
    <col min="12806" max="12806" width="15.453125" customWidth="1"/>
    <col min="12807" max="12881" width="9.26953125" customWidth="1"/>
    <col min="13057" max="13057" width="33" customWidth="1"/>
    <col min="13058" max="13058" width="4.7265625" customWidth="1"/>
    <col min="13059" max="13059" width="21" customWidth="1"/>
    <col min="13060" max="13060" width="15" customWidth="1"/>
    <col min="13061" max="13061" width="16.54296875" customWidth="1"/>
    <col min="13062" max="13062" width="15.453125" customWidth="1"/>
    <col min="13063" max="13137" width="9.26953125" customWidth="1"/>
    <col min="13313" max="13313" width="33" customWidth="1"/>
    <col min="13314" max="13314" width="4.7265625" customWidth="1"/>
    <col min="13315" max="13315" width="21" customWidth="1"/>
    <col min="13316" max="13316" width="15" customWidth="1"/>
    <col min="13317" max="13317" width="16.54296875" customWidth="1"/>
    <col min="13318" max="13318" width="15.453125" customWidth="1"/>
    <col min="13319" max="13393" width="9.26953125" customWidth="1"/>
    <col min="13569" max="13569" width="33" customWidth="1"/>
    <col min="13570" max="13570" width="4.7265625" customWidth="1"/>
    <col min="13571" max="13571" width="21" customWidth="1"/>
    <col min="13572" max="13572" width="15" customWidth="1"/>
    <col min="13573" max="13573" width="16.54296875" customWidth="1"/>
    <col min="13574" max="13574" width="15.453125" customWidth="1"/>
    <col min="13575" max="13649" width="9.26953125" customWidth="1"/>
    <col min="13825" max="13825" width="33" customWidth="1"/>
    <col min="13826" max="13826" width="4.7265625" customWidth="1"/>
    <col min="13827" max="13827" width="21" customWidth="1"/>
    <col min="13828" max="13828" width="15" customWidth="1"/>
    <col min="13829" max="13829" width="16.54296875" customWidth="1"/>
    <col min="13830" max="13830" width="15.453125" customWidth="1"/>
    <col min="13831" max="13905" width="9.26953125" customWidth="1"/>
    <col min="14081" max="14081" width="33" customWidth="1"/>
    <col min="14082" max="14082" width="4.7265625" customWidth="1"/>
    <col min="14083" max="14083" width="21" customWidth="1"/>
    <col min="14084" max="14084" width="15" customWidth="1"/>
    <col min="14085" max="14085" width="16.54296875" customWidth="1"/>
    <col min="14086" max="14086" width="15.453125" customWidth="1"/>
    <col min="14087" max="14161" width="9.26953125" customWidth="1"/>
    <col min="14337" max="14337" width="33" customWidth="1"/>
    <col min="14338" max="14338" width="4.7265625" customWidth="1"/>
    <col min="14339" max="14339" width="21" customWidth="1"/>
    <col min="14340" max="14340" width="15" customWidth="1"/>
    <col min="14341" max="14341" width="16.54296875" customWidth="1"/>
    <col min="14342" max="14342" width="15.453125" customWidth="1"/>
    <col min="14343" max="14417" width="9.26953125" customWidth="1"/>
    <col min="14593" max="14593" width="33" customWidth="1"/>
    <col min="14594" max="14594" width="4.7265625" customWidth="1"/>
    <col min="14595" max="14595" width="21" customWidth="1"/>
    <col min="14596" max="14596" width="15" customWidth="1"/>
    <col min="14597" max="14597" width="16.54296875" customWidth="1"/>
    <col min="14598" max="14598" width="15.453125" customWidth="1"/>
    <col min="14599" max="14673" width="9.26953125" customWidth="1"/>
    <col min="14849" max="14849" width="33" customWidth="1"/>
    <col min="14850" max="14850" width="4.7265625" customWidth="1"/>
    <col min="14851" max="14851" width="21" customWidth="1"/>
    <col min="14852" max="14852" width="15" customWidth="1"/>
    <col min="14853" max="14853" width="16.54296875" customWidth="1"/>
    <col min="14854" max="14854" width="15.453125" customWidth="1"/>
    <col min="14855" max="14929" width="9.26953125" customWidth="1"/>
    <col min="15105" max="15105" width="33" customWidth="1"/>
    <col min="15106" max="15106" width="4.7265625" customWidth="1"/>
    <col min="15107" max="15107" width="21" customWidth="1"/>
    <col min="15108" max="15108" width="15" customWidth="1"/>
    <col min="15109" max="15109" width="16.54296875" customWidth="1"/>
    <col min="15110" max="15110" width="15.453125" customWidth="1"/>
    <col min="15111" max="15185" width="9.26953125" customWidth="1"/>
    <col min="15361" max="15361" width="33" customWidth="1"/>
    <col min="15362" max="15362" width="4.7265625" customWidth="1"/>
    <col min="15363" max="15363" width="21" customWidth="1"/>
    <col min="15364" max="15364" width="15" customWidth="1"/>
    <col min="15365" max="15365" width="16.54296875" customWidth="1"/>
    <col min="15366" max="15366" width="15.453125" customWidth="1"/>
    <col min="15367" max="15441" width="9.26953125" customWidth="1"/>
    <col min="15617" max="15617" width="33" customWidth="1"/>
    <col min="15618" max="15618" width="4.7265625" customWidth="1"/>
    <col min="15619" max="15619" width="21" customWidth="1"/>
    <col min="15620" max="15620" width="15" customWidth="1"/>
    <col min="15621" max="15621" width="16.54296875" customWidth="1"/>
    <col min="15622" max="15622" width="15.453125" customWidth="1"/>
    <col min="15623" max="15697" width="9.26953125" customWidth="1"/>
    <col min="15873" max="15873" width="33" customWidth="1"/>
    <col min="15874" max="15874" width="4.7265625" customWidth="1"/>
    <col min="15875" max="15875" width="21" customWidth="1"/>
    <col min="15876" max="15876" width="15" customWidth="1"/>
    <col min="15877" max="15877" width="16.54296875" customWidth="1"/>
    <col min="15878" max="15878" width="15.453125" customWidth="1"/>
    <col min="15879" max="15953" width="9.26953125" customWidth="1"/>
    <col min="16129" max="16129" width="33" customWidth="1"/>
    <col min="16130" max="16130" width="4.7265625" customWidth="1"/>
    <col min="16131" max="16131" width="21" customWidth="1"/>
    <col min="16132" max="16132" width="15" customWidth="1"/>
    <col min="16133" max="16133" width="16.54296875" customWidth="1"/>
    <col min="16134" max="16134" width="15.453125" customWidth="1"/>
    <col min="16135" max="16209" width="9.26953125" customWidth="1"/>
  </cols>
  <sheetData>
    <row r="1" spans="1:6" ht="14.5" thickBot="1" x14ac:dyDescent="0.35">
      <c r="A1" s="1" t="s">
        <v>0</v>
      </c>
      <c r="B1" s="1"/>
      <c r="C1" s="2"/>
      <c r="D1" s="2"/>
      <c r="E1" s="2"/>
      <c r="F1" s="3" t="s">
        <v>1</v>
      </c>
    </row>
    <row r="2" spans="1:6" x14ac:dyDescent="0.25">
      <c r="A2" s="4"/>
      <c r="B2" s="5"/>
      <c r="C2" s="4"/>
      <c r="D2" s="6"/>
      <c r="E2" s="6"/>
      <c r="F2" s="7" t="s">
        <v>2</v>
      </c>
    </row>
    <row r="3" spans="1:6" x14ac:dyDescent="0.25">
      <c r="A3" s="8" t="s">
        <v>3</v>
      </c>
      <c r="B3" s="8"/>
      <c r="C3" s="8"/>
      <c r="D3" s="9"/>
      <c r="E3" s="10" t="s">
        <v>4</v>
      </c>
      <c r="F3" s="11">
        <v>46023</v>
      </c>
    </row>
    <row r="4" spans="1:6" x14ac:dyDescent="0.25">
      <c r="A4" s="5" t="s">
        <v>5</v>
      </c>
      <c r="B4" s="5"/>
      <c r="C4" s="5"/>
      <c r="D4" s="12"/>
      <c r="E4" s="13" t="s">
        <v>6</v>
      </c>
      <c r="F4" s="14">
        <v>77265565</v>
      </c>
    </row>
    <row r="5" spans="1:6" ht="14" x14ac:dyDescent="0.3">
      <c r="A5" s="5" t="s">
        <v>7</v>
      </c>
      <c r="B5" s="195" t="s">
        <v>8</v>
      </c>
      <c r="C5" s="195"/>
      <c r="D5" s="195"/>
      <c r="E5" s="13" t="s">
        <v>9</v>
      </c>
      <c r="F5" s="15" t="s">
        <v>10</v>
      </c>
    </row>
    <row r="6" spans="1:6" ht="23.25" customHeight="1" x14ac:dyDescent="0.25">
      <c r="A6" s="16" t="s">
        <v>11</v>
      </c>
      <c r="B6" s="5"/>
      <c r="C6" s="196" t="s">
        <v>12</v>
      </c>
      <c r="D6" s="196"/>
      <c r="E6" s="13" t="s">
        <v>13</v>
      </c>
      <c r="F6" s="17" t="s">
        <v>14</v>
      </c>
    </row>
    <row r="7" spans="1:6" x14ac:dyDescent="0.25">
      <c r="A7" s="18" t="s">
        <v>15</v>
      </c>
      <c r="B7" s="5"/>
      <c r="C7" s="5"/>
      <c r="D7" s="12"/>
      <c r="E7" s="12"/>
      <c r="F7" s="19"/>
    </row>
    <row r="8" spans="1:6" ht="13.5" thickBot="1" x14ac:dyDescent="0.35">
      <c r="A8" s="5" t="s">
        <v>16</v>
      </c>
      <c r="B8" s="197"/>
      <c r="C8" s="197"/>
      <c r="D8" s="12"/>
      <c r="E8" s="12"/>
      <c r="F8" s="20" t="s">
        <v>17</v>
      </c>
    </row>
    <row r="9" spans="1:6" ht="13" x14ac:dyDescent="0.3">
      <c r="A9" s="5"/>
      <c r="B9" s="197" t="s">
        <v>18</v>
      </c>
      <c r="C9" s="197"/>
      <c r="D9" s="12"/>
      <c r="E9" s="12"/>
      <c r="F9" s="21"/>
    </row>
    <row r="10" spans="1:6" ht="13" x14ac:dyDescent="0.3">
      <c r="B10" s="198"/>
      <c r="C10" s="198"/>
    </row>
    <row r="11" spans="1:6" ht="12.75" customHeight="1" x14ac:dyDescent="0.25">
      <c r="A11" s="189" t="s">
        <v>19</v>
      </c>
      <c r="B11" s="190" t="s">
        <v>20</v>
      </c>
      <c r="C11" s="191" t="s">
        <v>21</v>
      </c>
      <c r="D11" s="192" t="s">
        <v>22</v>
      </c>
      <c r="E11" s="200" t="s">
        <v>23</v>
      </c>
      <c r="F11" s="200" t="s">
        <v>24</v>
      </c>
    </row>
    <row r="12" spans="1:6" x14ac:dyDescent="0.25">
      <c r="A12" s="189"/>
      <c r="B12" s="190"/>
      <c r="C12" s="191"/>
      <c r="D12" s="193"/>
      <c r="E12" s="201"/>
      <c r="F12" s="201"/>
    </row>
    <row r="13" spans="1:6" x14ac:dyDescent="0.25">
      <c r="A13" s="189"/>
      <c r="B13" s="190"/>
      <c r="C13" s="191"/>
      <c r="D13" s="194"/>
      <c r="E13" s="202"/>
      <c r="F13" s="202"/>
    </row>
    <row r="14" spans="1:6" x14ac:dyDescent="0.25">
      <c r="A14" s="22">
        <v>1</v>
      </c>
      <c r="B14" s="23" t="s">
        <v>25</v>
      </c>
      <c r="C14" s="23" t="s">
        <v>26</v>
      </c>
      <c r="D14" s="22">
        <v>4</v>
      </c>
      <c r="E14" s="22">
        <v>5</v>
      </c>
      <c r="F14" s="22">
        <v>6</v>
      </c>
    </row>
    <row r="15" spans="1:6" ht="14" x14ac:dyDescent="0.3">
      <c r="A15" s="24" t="s">
        <v>27</v>
      </c>
      <c r="B15" s="25" t="s">
        <v>28</v>
      </c>
      <c r="C15" s="25" t="s">
        <v>29</v>
      </c>
      <c r="D15" s="26">
        <f>D17+D27+D31+D87+D200</f>
        <v>712340030.83000004</v>
      </c>
      <c r="E15" s="26">
        <f>E17+E27+E31+E87+E200</f>
        <v>719938893.34000003</v>
      </c>
      <c r="F15" s="27">
        <f t="shared" ref="F15:F75" si="0">IF(D15-E15&lt;0,0,(D15-E15))</f>
        <v>0</v>
      </c>
    </row>
    <row r="16" spans="1:6" ht="14" x14ac:dyDescent="0.3">
      <c r="A16" s="28" t="s">
        <v>30</v>
      </c>
      <c r="B16" s="23"/>
      <c r="C16" s="23"/>
      <c r="D16" s="29"/>
      <c r="E16" s="29" t="s">
        <v>31</v>
      </c>
      <c r="F16" s="30"/>
    </row>
    <row r="17" spans="1:6" ht="14" x14ac:dyDescent="0.3">
      <c r="A17" s="28" t="s">
        <v>32</v>
      </c>
      <c r="B17" s="31" t="s">
        <v>33</v>
      </c>
      <c r="C17" s="32" t="s">
        <v>34</v>
      </c>
      <c r="D17" s="26">
        <f>D18+D23+D25</f>
        <v>104000</v>
      </c>
      <c r="E17" s="26">
        <f>E18+E23+E25</f>
        <v>109722.45</v>
      </c>
      <c r="F17" s="27">
        <f t="shared" si="0"/>
        <v>0</v>
      </c>
    </row>
    <row r="18" spans="1:6" ht="26" x14ac:dyDescent="0.3">
      <c r="A18" s="33" t="s">
        <v>35</v>
      </c>
      <c r="B18" s="34" t="s">
        <v>28</v>
      </c>
      <c r="C18" s="32" t="s">
        <v>36</v>
      </c>
      <c r="D18" s="26">
        <f>D19+D21</f>
        <v>104000</v>
      </c>
      <c r="E18" s="26">
        <f>E19+E21</f>
        <v>109722.45</v>
      </c>
      <c r="F18" s="27">
        <f t="shared" si="0"/>
        <v>0</v>
      </c>
    </row>
    <row r="19" spans="1:6" ht="52" x14ac:dyDescent="0.3">
      <c r="A19" s="35" t="s">
        <v>37</v>
      </c>
      <c r="B19" s="36" t="s">
        <v>28</v>
      </c>
      <c r="C19" s="32" t="s">
        <v>38</v>
      </c>
      <c r="D19" s="26">
        <f>SUM(D20:D20)</f>
        <v>104000</v>
      </c>
      <c r="E19" s="26">
        <f>SUM(E20:E20)</f>
        <v>109722.45</v>
      </c>
      <c r="F19" s="27">
        <f t="shared" si="0"/>
        <v>0</v>
      </c>
    </row>
    <row r="20" spans="1:6" ht="31.5" x14ac:dyDescent="0.3">
      <c r="A20" s="37" t="s">
        <v>39</v>
      </c>
      <c r="B20" s="36" t="s">
        <v>28</v>
      </c>
      <c r="C20" s="38" t="s">
        <v>40</v>
      </c>
      <c r="D20" s="29">
        <v>104000</v>
      </c>
      <c r="E20" s="29">
        <f>951+4501+12901+12683.6+15182.85+2601+9400+9200+5950+13351+4001+19000</f>
        <v>109722.45</v>
      </c>
      <c r="F20" s="30">
        <f t="shared" si="0"/>
        <v>0</v>
      </c>
    </row>
    <row r="21" spans="1:6" ht="19.5" hidden="1" customHeight="1" x14ac:dyDescent="0.3">
      <c r="A21" s="35" t="s">
        <v>41</v>
      </c>
      <c r="B21" s="36" t="s">
        <v>28</v>
      </c>
      <c r="C21" s="32" t="s">
        <v>42</v>
      </c>
      <c r="D21" s="26">
        <f>SUM(D22:D22)</f>
        <v>0</v>
      </c>
      <c r="E21" s="26">
        <f>SUM(E22:E22)</f>
        <v>0</v>
      </c>
      <c r="F21" s="30">
        <f t="shared" si="0"/>
        <v>0</v>
      </c>
    </row>
    <row r="22" spans="1:6" ht="26.15" hidden="1" customHeight="1" x14ac:dyDescent="0.3">
      <c r="A22" s="37" t="s">
        <v>43</v>
      </c>
      <c r="B22" s="36" t="s">
        <v>28</v>
      </c>
      <c r="C22" s="38" t="s">
        <v>44</v>
      </c>
      <c r="D22" s="29"/>
      <c r="E22" s="29">
        <f>1746.69-1746.69</f>
        <v>0</v>
      </c>
      <c r="F22" s="30">
        <f t="shared" si="0"/>
        <v>0</v>
      </c>
    </row>
    <row r="23" spans="1:6" ht="30" hidden="1" customHeight="1" x14ac:dyDescent="0.3">
      <c r="A23" s="35" t="s">
        <v>45</v>
      </c>
      <c r="B23" s="34" t="s">
        <v>28</v>
      </c>
      <c r="C23" s="32" t="s">
        <v>46</v>
      </c>
      <c r="D23" s="26">
        <f>D24</f>
        <v>0</v>
      </c>
      <c r="E23" s="26">
        <f>E24</f>
        <v>0</v>
      </c>
      <c r="F23" s="30">
        <f t="shared" si="0"/>
        <v>0</v>
      </c>
    </row>
    <row r="24" spans="1:6" ht="30.4" hidden="1" customHeight="1" x14ac:dyDescent="0.3">
      <c r="A24" s="37" t="s">
        <v>47</v>
      </c>
      <c r="B24" s="36" t="s">
        <v>28</v>
      </c>
      <c r="C24" s="38" t="s">
        <v>48</v>
      </c>
      <c r="D24" s="29"/>
      <c r="E24" s="29"/>
      <c r="F24" s="30">
        <f t="shared" si="0"/>
        <v>0</v>
      </c>
    </row>
    <row r="25" spans="1:6" ht="25.15" hidden="1" customHeight="1" x14ac:dyDescent="0.3">
      <c r="A25" s="35" t="s">
        <v>49</v>
      </c>
      <c r="B25" s="34" t="s">
        <v>28</v>
      </c>
      <c r="C25" s="32" t="s">
        <v>50</v>
      </c>
      <c r="D25" s="26">
        <f>D26</f>
        <v>0</v>
      </c>
      <c r="E25" s="26">
        <f>E26</f>
        <v>0</v>
      </c>
      <c r="F25" s="30">
        <f t="shared" si="0"/>
        <v>0</v>
      </c>
    </row>
    <row r="26" spans="1:6" ht="31.5" hidden="1" x14ac:dyDescent="0.3">
      <c r="A26" s="37" t="s">
        <v>51</v>
      </c>
      <c r="B26" s="36" t="s">
        <v>28</v>
      </c>
      <c r="C26" s="38" t="s">
        <v>52</v>
      </c>
      <c r="D26" s="29"/>
      <c r="E26" s="29"/>
      <c r="F26" s="30">
        <f t="shared" si="0"/>
        <v>0</v>
      </c>
    </row>
    <row r="27" spans="1:6" ht="14" hidden="1" x14ac:dyDescent="0.3">
      <c r="A27" s="35"/>
      <c r="B27" s="39" t="s">
        <v>33</v>
      </c>
      <c r="C27" s="32" t="s">
        <v>53</v>
      </c>
      <c r="D27" s="26">
        <f>D28</f>
        <v>0</v>
      </c>
      <c r="E27" s="26">
        <f>E28</f>
        <v>0</v>
      </c>
      <c r="F27" s="30">
        <f t="shared" si="0"/>
        <v>0</v>
      </c>
    </row>
    <row r="28" spans="1:6" ht="14" hidden="1" x14ac:dyDescent="0.3">
      <c r="A28" s="37" t="s">
        <v>35</v>
      </c>
      <c r="B28" s="36" t="s">
        <v>28</v>
      </c>
      <c r="C28" s="38" t="s">
        <v>54</v>
      </c>
      <c r="D28" s="29">
        <f>D29</f>
        <v>0</v>
      </c>
      <c r="E28" s="29">
        <f>E29</f>
        <v>0</v>
      </c>
      <c r="F28" s="30">
        <f t="shared" si="0"/>
        <v>0</v>
      </c>
    </row>
    <row r="29" spans="1:6" ht="14" hidden="1" x14ac:dyDescent="0.3">
      <c r="A29" s="37" t="s">
        <v>55</v>
      </c>
      <c r="B29" s="36" t="s">
        <v>28</v>
      </c>
      <c r="C29" s="38" t="s">
        <v>56</v>
      </c>
      <c r="D29" s="29">
        <f>SUM(D30:D30)</f>
        <v>0</v>
      </c>
      <c r="E29" s="29">
        <f>SUM(E30:E30)</f>
        <v>0</v>
      </c>
      <c r="F29" s="30">
        <f t="shared" si="0"/>
        <v>0</v>
      </c>
    </row>
    <row r="30" spans="1:6" ht="73.5" hidden="1" x14ac:dyDescent="0.3">
      <c r="A30" s="37" t="s">
        <v>57</v>
      </c>
      <c r="B30" s="36" t="s">
        <v>28</v>
      </c>
      <c r="C30" s="38" t="s">
        <v>58</v>
      </c>
      <c r="D30" s="29"/>
      <c r="E30" s="29">
        <f>20000-20000</f>
        <v>0</v>
      </c>
      <c r="F30" s="30">
        <f t="shared" si="0"/>
        <v>0</v>
      </c>
    </row>
    <row r="31" spans="1:6" ht="14" x14ac:dyDescent="0.3">
      <c r="A31" s="40" t="s">
        <v>32</v>
      </c>
      <c r="B31" s="31" t="s">
        <v>33</v>
      </c>
      <c r="C31" s="32" t="s">
        <v>59</v>
      </c>
      <c r="D31" s="26">
        <f>D32+D64</f>
        <v>437627316.94000006</v>
      </c>
      <c r="E31" s="26">
        <f>E32+E64</f>
        <v>441012083.68000007</v>
      </c>
      <c r="F31" s="27">
        <f t="shared" si="0"/>
        <v>0</v>
      </c>
    </row>
    <row r="32" spans="1:6" ht="25.5" customHeight="1" x14ac:dyDescent="0.3">
      <c r="A32" s="33" t="s">
        <v>35</v>
      </c>
      <c r="B32" s="31" t="s">
        <v>28</v>
      </c>
      <c r="C32" s="32" t="s">
        <v>60</v>
      </c>
      <c r="D32" s="26">
        <f>D33+D35+D44+D47+D52+D59</f>
        <v>80509201.719999999</v>
      </c>
      <c r="E32" s="26">
        <f>E33+E35+E44+E47+E52+E59</f>
        <v>83897023.690000013</v>
      </c>
      <c r="F32" s="27">
        <f t="shared" si="0"/>
        <v>0</v>
      </c>
    </row>
    <row r="33" spans="1:6" ht="14" hidden="1" x14ac:dyDescent="0.3">
      <c r="A33" s="35" t="s">
        <v>61</v>
      </c>
      <c r="B33" s="36" t="s">
        <v>28</v>
      </c>
      <c r="C33" s="32" t="s">
        <v>62</v>
      </c>
      <c r="D33" s="26">
        <f>SUM(D34:D34)</f>
        <v>0</v>
      </c>
      <c r="E33" s="26">
        <f>SUM(E34:E34)</f>
        <v>0</v>
      </c>
      <c r="F33" s="27">
        <f t="shared" si="0"/>
        <v>0</v>
      </c>
    </row>
    <row r="34" spans="1:6" ht="2.15" hidden="1" customHeight="1" x14ac:dyDescent="0.3">
      <c r="A34" s="37" t="s">
        <v>63</v>
      </c>
      <c r="B34" s="36" t="s">
        <v>28</v>
      </c>
      <c r="C34" s="38" t="s">
        <v>64</v>
      </c>
      <c r="D34" s="29"/>
      <c r="E34" s="29"/>
      <c r="F34" s="27">
        <f t="shared" si="0"/>
        <v>0</v>
      </c>
    </row>
    <row r="35" spans="1:6" ht="45" customHeight="1" x14ac:dyDescent="0.3">
      <c r="A35" s="35" t="s">
        <v>65</v>
      </c>
      <c r="B35" s="36" t="s">
        <v>28</v>
      </c>
      <c r="C35" s="32" t="s">
        <v>66</v>
      </c>
      <c r="D35" s="26">
        <f>SUM(D36:D43)</f>
        <v>68579843.799999997</v>
      </c>
      <c r="E35" s="26">
        <f>SUM(E36:E43)</f>
        <v>71728268.420000017</v>
      </c>
      <c r="F35" s="27">
        <f t="shared" si="0"/>
        <v>0</v>
      </c>
    </row>
    <row r="36" spans="1:6" ht="64.5" customHeight="1" x14ac:dyDescent="0.3">
      <c r="A36" s="41" t="s">
        <v>67</v>
      </c>
      <c r="B36" s="36" t="s">
        <v>28</v>
      </c>
      <c r="C36" s="38" t="s">
        <v>68</v>
      </c>
      <c r="D36" s="29">
        <v>24320000</v>
      </c>
      <c r="E36" s="29">
        <f>1886714.03+1968743.2+2019230.09+2193986.12+2044701.24+2174510.55+1904654.28+2127734.13+2077919.36+2428276.62+2184658.38+1986239.92</f>
        <v>24997367.920000002</v>
      </c>
      <c r="F36" s="30">
        <f t="shared" si="0"/>
        <v>0</v>
      </c>
    </row>
    <row r="37" spans="1:6" ht="63.65" customHeight="1" x14ac:dyDescent="0.3">
      <c r="A37" s="41" t="s">
        <v>69</v>
      </c>
      <c r="B37" s="36" t="s">
        <v>28</v>
      </c>
      <c r="C37" s="38" t="s">
        <v>70</v>
      </c>
      <c r="D37" s="29">
        <f>14078000+2122000</f>
        <v>16200000</v>
      </c>
      <c r="E37" s="29">
        <f>945227.8+1486432.29+1448753.54+1002724.97+1183391.55+1243380.54+865669.9+1549278.58+2054284.33+1267237.15+1049582.54+3205511.73</f>
        <v>17301474.920000002</v>
      </c>
      <c r="F37" s="30">
        <f t="shared" si="0"/>
        <v>0</v>
      </c>
    </row>
    <row r="38" spans="1:6" ht="53.15" customHeight="1" x14ac:dyDescent="0.3">
      <c r="A38" s="41" t="s">
        <v>71</v>
      </c>
      <c r="B38" s="36" t="s">
        <v>28</v>
      </c>
      <c r="C38" s="38" t="s">
        <v>72</v>
      </c>
      <c r="D38" s="29">
        <v>82200</v>
      </c>
      <c r="E38" s="29">
        <f>22110.8+22110.8+32520.97+15497.1</f>
        <v>92239.670000000013</v>
      </c>
      <c r="F38" s="30">
        <f t="shared" si="0"/>
        <v>0</v>
      </c>
    </row>
    <row r="39" spans="1:6" ht="33.65" customHeight="1" x14ac:dyDescent="0.3">
      <c r="A39" s="41" t="s">
        <v>73</v>
      </c>
      <c r="B39" s="36" t="s">
        <v>28</v>
      </c>
      <c r="C39" s="38" t="s">
        <v>74</v>
      </c>
      <c r="D39" s="29">
        <v>23212000</v>
      </c>
      <c r="E39" s="29">
        <f>1275501.63+1900763.64+1881276.15+1548018.32+2151243.54+2037536.4+1779813.63+1752886.41+2125703.22+2375550.19+2143104.74+3467879.69</f>
        <v>24439277.560000006</v>
      </c>
      <c r="F39" s="30">
        <f t="shared" si="0"/>
        <v>0</v>
      </c>
    </row>
    <row r="40" spans="1:6" ht="136.9" customHeight="1" x14ac:dyDescent="0.3">
      <c r="A40" s="41" t="s">
        <v>75</v>
      </c>
      <c r="B40" s="36" t="s">
        <v>28</v>
      </c>
      <c r="C40" s="38" t="s">
        <v>76</v>
      </c>
      <c r="D40" s="29">
        <v>725.8</v>
      </c>
      <c r="E40" s="29">
        <v>725.8</v>
      </c>
      <c r="F40" s="30">
        <f t="shared" si="0"/>
        <v>0</v>
      </c>
    </row>
    <row r="41" spans="1:6" ht="65.150000000000006" customHeight="1" x14ac:dyDescent="0.3">
      <c r="A41" s="41" t="s">
        <v>77</v>
      </c>
      <c r="B41" s="36" t="s">
        <v>28</v>
      </c>
      <c r="C41" s="38" t="s">
        <v>78</v>
      </c>
      <c r="D41" s="29">
        <f>2700000+200000+200000+400000</f>
        <v>3500000</v>
      </c>
      <c r="E41" s="29">
        <f>171341.32+242546.65+349415.19+238194+339575.47+300279.47+179641.78+311805.33+528538.77+404489.81+252471.07+281277.53</f>
        <v>3599576.3899999997</v>
      </c>
      <c r="F41" s="30">
        <f t="shared" si="0"/>
        <v>0</v>
      </c>
    </row>
    <row r="42" spans="1:6" ht="88.5" customHeight="1" x14ac:dyDescent="0.3">
      <c r="A42" s="41" t="s">
        <v>79</v>
      </c>
      <c r="B42" s="36" t="s">
        <v>28</v>
      </c>
      <c r="C42" s="38" t="s">
        <v>80</v>
      </c>
      <c r="D42" s="29">
        <f>756700-53382</f>
        <v>703318</v>
      </c>
      <c r="E42" s="29">
        <f>53568.02+33603.96+83389.24+25084.8+76673.39+73440.88+32803.2+87699.27+47587.4+49504.12+63127.02+86970.74</f>
        <v>713452.04</v>
      </c>
      <c r="F42" s="30">
        <f t="shared" si="0"/>
        <v>0</v>
      </c>
    </row>
    <row r="43" spans="1:6" ht="85.5" customHeight="1" x14ac:dyDescent="0.3">
      <c r="A43" s="41" t="s">
        <v>81</v>
      </c>
      <c r="B43" s="36" t="s">
        <v>28</v>
      </c>
      <c r="C43" s="38" t="s">
        <v>82</v>
      </c>
      <c r="D43" s="29">
        <v>561600</v>
      </c>
      <c r="E43" s="29">
        <f>54536.3+60687.7+14074.39+628.88+155737.06+17660.09+21477.39+10736.73+6341+164306.62+59791.95+18176.01</f>
        <v>584154.12</v>
      </c>
      <c r="F43" s="30">
        <f t="shared" si="0"/>
        <v>0</v>
      </c>
    </row>
    <row r="44" spans="1:6" ht="52" x14ac:dyDescent="0.3">
      <c r="A44" s="35" t="s">
        <v>37</v>
      </c>
      <c r="B44" s="36" t="s">
        <v>28</v>
      </c>
      <c r="C44" s="32" t="s">
        <v>83</v>
      </c>
      <c r="D44" s="26">
        <f>SUM(D45:D46)</f>
        <v>1265000</v>
      </c>
      <c r="E44" s="26">
        <f>SUM(E45:E46)</f>
        <v>1285136.7999999998</v>
      </c>
      <c r="F44" s="27">
        <f t="shared" si="0"/>
        <v>0</v>
      </c>
    </row>
    <row r="45" spans="1:6" ht="31.5" x14ac:dyDescent="0.3">
      <c r="A45" s="37" t="s">
        <v>84</v>
      </c>
      <c r="B45" s="36" t="s">
        <v>28</v>
      </c>
      <c r="C45" s="38" t="s">
        <v>85</v>
      </c>
      <c r="D45" s="29">
        <f>60000+25000</f>
        <v>85000</v>
      </c>
      <c r="E45" s="29">
        <f>8540.38+7599.59+966.92+17304.42+1822.05+15517.3+6635.84+738.27+4798.65+17943.75</f>
        <v>81867.17</v>
      </c>
      <c r="F45" s="30">
        <f t="shared" si="0"/>
        <v>3132.8300000000017</v>
      </c>
    </row>
    <row r="46" spans="1:6" ht="21" x14ac:dyDescent="0.3">
      <c r="A46" s="37" t="s">
        <v>86</v>
      </c>
      <c r="B46" s="36" t="s">
        <v>28</v>
      </c>
      <c r="C46" s="38" t="s">
        <v>87</v>
      </c>
      <c r="D46" s="29">
        <f>100000+600000+40000+440000</f>
        <v>1180000</v>
      </c>
      <c r="E46" s="29">
        <f>11391.85+15283.27+15644.22+15580.39+518892.74+94886.11+27737.49+25716.51+32893.3+329209.07+19558.22+96476.46</f>
        <v>1203269.6299999999</v>
      </c>
      <c r="F46" s="30">
        <f t="shared" si="0"/>
        <v>0</v>
      </c>
    </row>
    <row r="47" spans="1:6" ht="29.25" customHeight="1" x14ac:dyDescent="0.3">
      <c r="A47" s="42" t="s">
        <v>88</v>
      </c>
      <c r="B47" s="36" t="s">
        <v>28</v>
      </c>
      <c r="C47" s="32" t="s">
        <v>89</v>
      </c>
      <c r="D47" s="26">
        <f>SUM(D48:D51)</f>
        <v>10122000</v>
      </c>
      <c r="E47" s="26">
        <f>SUM(E48:E51)</f>
        <v>10341260.550000001</v>
      </c>
      <c r="F47" s="27">
        <f t="shared" si="0"/>
        <v>0</v>
      </c>
    </row>
    <row r="48" spans="1:6" ht="75.650000000000006" customHeight="1" x14ac:dyDescent="0.3">
      <c r="A48" s="41" t="s">
        <v>90</v>
      </c>
      <c r="B48" s="36" t="s">
        <v>28</v>
      </c>
      <c r="C48" s="38" t="s">
        <v>91</v>
      </c>
      <c r="D48" s="29">
        <f>9600+393600+98800</f>
        <v>502000</v>
      </c>
      <c r="E48" s="29">
        <f>960+8640+329600+64000+278561.88</f>
        <v>681761.88</v>
      </c>
      <c r="F48" s="30">
        <f t="shared" si="0"/>
        <v>0</v>
      </c>
    </row>
    <row r="49" spans="1:6" ht="42" x14ac:dyDescent="0.3">
      <c r="A49" s="41" t="s">
        <v>92</v>
      </c>
      <c r="B49" s="36" t="s">
        <v>28</v>
      </c>
      <c r="C49" s="38" t="s">
        <v>93</v>
      </c>
      <c r="D49" s="29">
        <f>100000+1470000+1050000</f>
        <v>2620000</v>
      </c>
      <c r="E49" s="29">
        <f>10309.01+9602.41+9621.32+1468371.57+12003.02+6814.32+1102083.32+4772.85</f>
        <v>2623577.8200000003</v>
      </c>
      <c r="F49" s="30">
        <f t="shared" si="0"/>
        <v>0</v>
      </c>
    </row>
    <row r="50" spans="1:6" ht="55.15" hidden="1" customHeight="1" x14ac:dyDescent="0.3">
      <c r="A50" s="41" t="s">
        <v>94</v>
      </c>
      <c r="B50" s="36" t="s">
        <v>28</v>
      </c>
      <c r="C50" s="38" t="s">
        <v>95</v>
      </c>
      <c r="D50" s="29"/>
      <c r="E50" s="29"/>
      <c r="F50" s="30">
        <f t="shared" si="0"/>
        <v>0</v>
      </c>
    </row>
    <row r="51" spans="1:6" ht="42" x14ac:dyDescent="0.3">
      <c r="A51" s="37" t="s">
        <v>96</v>
      </c>
      <c r="B51" s="36" t="s">
        <v>28</v>
      </c>
      <c r="C51" s="38" t="s">
        <v>97</v>
      </c>
      <c r="D51" s="29">
        <f>6500000+1000000-500000</f>
        <v>7000000</v>
      </c>
      <c r="E51" s="29">
        <f>459282.28+568137.85+478592.85+446516.86+494211.95+494088.17+478547.42+600325.42+491498.58+519034.87+691334.66+1314349.94</f>
        <v>7035920.8499999996</v>
      </c>
      <c r="F51" s="30">
        <f t="shared" si="0"/>
        <v>0</v>
      </c>
    </row>
    <row r="52" spans="1:6" s="44" customFormat="1" ht="21.75" customHeight="1" x14ac:dyDescent="0.3">
      <c r="A52" s="43" t="s">
        <v>55</v>
      </c>
      <c r="B52" s="39" t="s">
        <v>28</v>
      </c>
      <c r="C52" s="32" t="s">
        <v>98</v>
      </c>
      <c r="D52" s="26">
        <f>SUM(D53:D58)</f>
        <v>543312.92000000004</v>
      </c>
      <c r="E52" s="26">
        <f>SUM(E53:E58)</f>
        <v>543312.92000000004</v>
      </c>
      <c r="F52" s="27">
        <f t="shared" si="0"/>
        <v>0</v>
      </c>
    </row>
    <row r="53" spans="1:6" s="44" customFormat="1" ht="190.5" hidden="1" customHeight="1" x14ac:dyDescent="0.3">
      <c r="A53" s="41" t="s">
        <v>99</v>
      </c>
      <c r="B53" s="36" t="s">
        <v>28</v>
      </c>
      <c r="C53" s="38" t="s">
        <v>100</v>
      </c>
      <c r="D53" s="29"/>
      <c r="E53" s="29"/>
      <c r="F53" s="30">
        <f t="shared" si="0"/>
        <v>0</v>
      </c>
    </row>
    <row r="54" spans="1:6" s="44" customFormat="1" ht="63" x14ac:dyDescent="0.3">
      <c r="A54" s="41" t="s">
        <v>101</v>
      </c>
      <c r="B54" s="36" t="s">
        <v>28</v>
      </c>
      <c r="C54" s="38" t="s">
        <v>102</v>
      </c>
      <c r="D54" s="29">
        <f>20000+147009.41+375859.72</f>
        <v>542869.13</v>
      </c>
      <c r="E54" s="29">
        <f>162009.41+5000+562835.22-401905.84+200504.68+14425.66</f>
        <v>542869.13</v>
      </c>
      <c r="F54" s="30">
        <f t="shared" si="0"/>
        <v>0</v>
      </c>
    </row>
    <row r="55" spans="1:6" s="44" customFormat="1" ht="67.900000000000006" hidden="1" customHeight="1" x14ac:dyDescent="0.3">
      <c r="A55" s="37" t="s">
        <v>103</v>
      </c>
      <c r="B55" s="36" t="s">
        <v>28</v>
      </c>
      <c r="C55" s="38" t="s">
        <v>104</v>
      </c>
      <c r="D55" s="29"/>
      <c r="E55" s="29"/>
      <c r="F55" s="30">
        <f t="shared" si="0"/>
        <v>0</v>
      </c>
    </row>
    <row r="56" spans="1:6" s="44" customFormat="1" ht="51.4" hidden="1" customHeight="1" x14ac:dyDescent="0.3">
      <c r="A56" s="37" t="s">
        <v>105</v>
      </c>
      <c r="B56" s="36" t="s">
        <v>28</v>
      </c>
      <c r="C56" s="38" t="s">
        <v>106</v>
      </c>
      <c r="D56" s="29"/>
      <c r="E56" s="29"/>
      <c r="F56" s="30">
        <f t="shared" si="0"/>
        <v>0</v>
      </c>
    </row>
    <row r="57" spans="1:6" s="44" customFormat="1" ht="52.5" x14ac:dyDescent="0.3">
      <c r="A57" s="41" t="s">
        <v>107</v>
      </c>
      <c r="B57" s="36" t="s">
        <v>28</v>
      </c>
      <c r="C57" s="38" t="s">
        <v>108</v>
      </c>
      <c r="D57" s="29">
        <v>443.79</v>
      </c>
      <c r="E57" s="29">
        <f>443.79</f>
        <v>443.79</v>
      </c>
      <c r="F57" s="30">
        <f t="shared" si="0"/>
        <v>0</v>
      </c>
    </row>
    <row r="58" spans="1:6" ht="57" hidden="1" customHeight="1" x14ac:dyDescent="0.3">
      <c r="A58" s="37" t="s">
        <v>109</v>
      </c>
      <c r="B58" s="36" t="s">
        <v>28</v>
      </c>
      <c r="C58" s="38" t="s">
        <v>110</v>
      </c>
      <c r="D58" s="29"/>
      <c r="E58" s="29"/>
      <c r="F58" s="30">
        <f t="shared" si="0"/>
        <v>0</v>
      </c>
    </row>
    <row r="59" spans="1:6" ht="17.149999999999999" customHeight="1" x14ac:dyDescent="0.3">
      <c r="A59" s="35" t="s">
        <v>41</v>
      </c>
      <c r="B59" s="36" t="s">
        <v>28</v>
      </c>
      <c r="C59" s="32" t="s">
        <v>111</v>
      </c>
      <c r="D59" s="26">
        <f>SUM(D60:D61)</f>
        <v>-955</v>
      </c>
      <c r="E59" s="26">
        <f>SUM(E60:E61)</f>
        <v>-955</v>
      </c>
      <c r="F59" s="27">
        <f t="shared" si="0"/>
        <v>0</v>
      </c>
    </row>
    <row r="60" spans="1:6" ht="21" hidden="1" x14ac:dyDescent="0.3">
      <c r="A60" s="37" t="s">
        <v>43</v>
      </c>
      <c r="B60" s="36" t="s">
        <v>28</v>
      </c>
      <c r="C60" s="38" t="s">
        <v>112</v>
      </c>
      <c r="D60" s="29"/>
      <c r="E60" s="29"/>
      <c r="F60" s="27">
        <f t="shared" si="0"/>
        <v>0</v>
      </c>
    </row>
    <row r="61" spans="1:6" ht="26" x14ac:dyDescent="0.3">
      <c r="A61" s="33" t="s">
        <v>113</v>
      </c>
      <c r="B61" s="36" t="s">
        <v>28</v>
      </c>
      <c r="C61" s="32" t="s">
        <v>114</v>
      </c>
      <c r="D61" s="26">
        <f>SUM(D62:D63)</f>
        <v>-955</v>
      </c>
      <c r="E61" s="26">
        <f>SUM(E62:E63)</f>
        <v>-955</v>
      </c>
      <c r="F61" s="27">
        <f t="shared" si="0"/>
        <v>0</v>
      </c>
    </row>
    <row r="62" spans="1:6" ht="31.5" hidden="1" x14ac:dyDescent="0.3">
      <c r="A62" s="37" t="s">
        <v>115</v>
      </c>
      <c r="B62" s="36" t="s">
        <v>28</v>
      </c>
      <c r="C62" s="38" t="s">
        <v>116</v>
      </c>
      <c r="D62" s="29"/>
      <c r="E62" s="29"/>
      <c r="F62" s="30">
        <f t="shared" si="0"/>
        <v>0</v>
      </c>
    </row>
    <row r="63" spans="1:6" ht="21" x14ac:dyDescent="0.3">
      <c r="A63" s="37" t="s">
        <v>117</v>
      </c>
      <c r="B63" s="36" t="s">
        <v>28</v>
      </c>
      <c r="C63" s="38" t="s">
        <v>118</v>
      </c>
      <c r="D63" s="29">
        <v>-955</v>
      </c>
      <c r="E63" s="29">
        <v>-955</v>
      </c>
      <c r="F63" s="30">
        <f t="shared" si="0"/>
        <v>0</v>
      </c>
    </row>
    <row r="64" spans="1:6" ht="17.649999999999999" customHeight="1" x14ac:dyDescent="0.3">
      <c r="A64" s="43" t="s">
        <v>119</v>
      </c>
      <c r="B64" s="39" t="s">
        <v>28</v>
      </c>
      <c r="C64" s="32" t="s">
        <v>120</v>
      </c>
      <c r="D64" s="26">
        <f>D66+D81+D85+D79+D83</f>
        <v>357118115.22000003</v>
      </c>
      <c r="E64" s="26">
        <f>E66+E81+E85+E79+E83</f>
        <v>357115059.99000007</v>
      </c>
      <c r="F64" s="27">
        <f t="shared" si="0"/>
        <v>3055.2299999594688</v>
      </c>
    </row>
    <row r="65" spans="1:6" ht="14" x14ac:dyDescent="0.3">
      <c r="A65" s="40" t="s">
        <v>121</v>
      </c>
      <c r="B65" s="36" t="s">
        <v>28</v>
      </c>
      <c r="C65" s="38"/>
      <c r="D65" s="29"/>
      <c r="E65" s="29"/>
      <c r="F65" s="30"/>
    </row>
    <row r="66" spans="1:6" ht="39" x14ac:dyDescent="0.3">
      <c r="A66" s="33" t="s">
        <v>122</v>
      </c>
      <c r="B66" s="36"/>
      <c r="C66" s="32" t="s">
        <v>123</v>
      </c>
      <c r="D66" s="26">
        <f>SUM(D67:D78)</f>
        <v>349713424</v>
      </c>
      <c r="E66" s="26">
        <f>SUM(E67:E78)</f>
        <v>349710368.77000004</v>
      </c>
      <c r="F66" s="27">
        <f t="shared" si="0"/>
        <v>3055.2299999594688</v>
      </c>
    </row>
    <row r="67" spans="1:6" ht="31.5" x14ac:dyDescent="0.3">
      <c r="A67" s="41" t="s">
        <v>124</v>
      </c>
      <c r="B67" s="36" t="s">
        <v>28</v>
      </c>
      <c r="C67" s="38" t="s">
        <v>125</v>
      </c>
      <c r="D67" s="29">
        <v>2872510</v>
      </c>
      <c r="E67" s="29">
        <f>239370+239370+239370+239370+239370+239370+239370+239370+239370+239370+239370+239440</f>
        <v>2872510</v>
      </c>
      <c r="F67" s="30">
        <f t="shared" si="0"/>
        <v>0</v>
      </c>
    </row>
    <row r="68" spans="1:6" ht="24" customHeight="1" x14ac:dyDescent="0.3">
      <c r="A68" s="41" t="s">
        <v>126</v>
      </c>
      <c r="B68" s="36" t="s">
        <v>28</v>
      </c>
      <c r="C68" s="38" t="s">
        <v>127</v>
      </c>
      <c r="D68" s="29">
        <f>822260</f>
        <v>822260</v>
      </c>
      <c r="E68" s="29">
        <f>822260</f>
        <v>822260</v>
      </c>
      <c r="F68" s="30">
        <f t="shared" si="0"/>
        <v>0</v>
      </c>
    </row>
    <row r="69" spans="1:6" ht="50.15" customHeight="1" x14ac:dyDescent="0.3">
      <c r="A69" s="41" t="s">
        <v>128</v>
      </c>
      <c r="B69" s="36" t="s">
        <v>28</v>
      </c>
      <c r="C69" s="38" t="s">
        <v>129</v>
      </c>
      <c r="D69" s="29">
        <v>64517330</v>
      </c>
      <c r="E69" s="29">
        <f>20476221.15+25034887.4+8491509.67+10514711.78</f>
        <v>64517330</v>
      </c>
      <c r="F69" s="30">
        <f t="shared" si="0"/>
        <v>0</v>
      </c>
    </row>
    <row r="70" spans="1:6" ht="58" customHeight="1" x14ac:dyDescent="0.3">
      <c r="A70" s="41" t="s">
        <v>130</v>
      </c>
      <c r="B70" s="36" t="s">
        <v>28</v>
      </c>
      <c r="C70" s="38" t="s">
        <v>131</v>
      </c>
      <c r="D70" s="29">
        <v>151515160</v>
      </c>
      <c r="E70" s="29">
        <v>151515160</v>
      </c>
      <c r="F70" s="30">
        <f t="shared" si="0"/>
        <v>0</v>
      </c>
    </row>
    <row r="71" spans="1:6" ht="31.5" x14ac:dyDescent="0.3">
      <c r="A71" s="41" t="s">
        <v>132</v>
      </c>
      <c r="B71" s="36" t="s">
        <v>28</v>
      </c>
      <c r="C71" s="38" t="s">
        <v>133</v>
      </c>
      <c r="D71" s="29">
        <f>8875250</f>
        <v>8875250</v>
      </c>
      <c r="E71" s="29">
        <f>3830371.05+2242168.42+1307931.58+1494778.95</f>
        <v>8875250</v>
      </c>
      <c r="F71" s="30">
        <f t="shared" si="0"/>
        <v>0</v>
      </c>
    </row>
    <row r="72" spans="1:6" ht="52.5" x14ac:dyDescent="0.3">
      <c r="A72" s="41" t="s">
        <v>134</v>
      </c>
      <c r="B72" s="36" t="s">
        <v>28</v>
      </c>
      <c r="C72" s="38" t="s">
        <v>135</v>
      </c>
      <c r="D72" s="29">
        <v>7118320</v>
      </c>
      <c r="E72" s="29">
        <v>7118320</v>
      </c>
      <c r="F72" s="30">
        <f t="shared" si="0"/>
        <v>0</v>
      </c>
    </row>
    <row r="73" spans="1:6" ht="31.5" x14ac:dyDescent="0.3">
      <c r="A73" s="41" t="s">
        <v>136</v>
      </c>
      <c r="B73" s="36" t="s">
        <v>28</v>
      </c>
      <c r="C73" s="38" t="s">
        <v>137</v>
      </c>
      <c r="D73" s="29">
        <f>36556250-3202950</f>
        <v>33353300</v>
      </c>
      <c r="E73" s="29">
        <f>425734.17+12734516.1+20193042.77</f>
        <v>33353293.039999999</v>
      </c>
      <c r="F73" s="30">
        <f t="shared" si="0"/>
        <v>6.9600000008940697</v>
      </c>
    </row>
    <row r="74" spans="1:6" ht="14" x14ac:dyDescent="0.3">
      <c r="A74" s="41" t="s">
        <v>138</v>
      </c>
      <c r="B74" s="36" t="s">
        <v>28</v>
      </c>
      <c r="C74" s="38" t="s">
        <v>139</v>
      </c>
      <c r="D74" s="29">
        <f>17762770+445000+66000+1203880+11634630+1024200-62100-951060-425440</f>
        <v>30697880</v>
      </c>
      <c r="E74" s="29">
        <f>1558000+362707.54+111722.34+1299841.49+3594364.5+5753306.36+252119.5+17762770</f>
        <v>30694831.73</v>
      </c>
      <c r="F74" s="30">
        <f t="shared" si="0"/>
        <v>3048.269999999553</v>
      </c>
    </row>
    <row r="75" spans="1:6" ht="34.5" customHeight="1" x14ac:dyDescent="0.3">
      <c r="A75" s="41" t="s">
        <v>140</v>
      </c>
      <c r="B75" s="36" t="s">
        <v>28</v>
      </c>
      <c r="C75" s="38" t="s">
        <v>141</v>
      </c>
      <c r="D75" s="29">
        <v>2200</v>
      </c>
      <c r="E75" s="29">
        <v>2200</v>
      </c>
      <c r="F75" s="30">
        <f t="shared" si="0"/>
        <v>0</v>
      </c>
    </row>
    <row r="76" spans="1:6" ht="38.65" hidden="1" customHeight="1" x14ac:dyDescent="0.25">
      <c r="A76" s="41" t="s">
        <v>142</v>
      </c>
      <c r="B76" s="36" t="s">
        <v>28</v>
      </c>
      <c r="C76" s="38" t="s">
        <v>143</v>
      </c>
      <c r="D76" s="29"/>
      <c r="E76" s="29"/>
      <c r="F76" s="29">
        <f>D76-E76</f>
        <v>0</v>
      </c>
    </row>
    <row r="77" spans="1:6" ht="64.150000000000006" hidden="1" customHeight="1" x14ac:dyDescent="0.25">
      <c r="A77" s="41" t="s">
        <v>144</v>
      </c>
      <c r="B77" s="36" t="s">
        <v>28</v>
      </c>
      <c r="C77" s="38" t="s">
        <v>145</v>
      </c>
      <c r="D77" s="29"/>
      <c r="E77" s="29"/>
      <c r="F77" s="29">
        <f>D77-E77</f>
        <v>0</v>
      </c>
    </row>
    <row r="78" spans="1:6" ht="21" x14ac:dyDescent="0.3">
      <c r="A78" s="41" t="s">
        <v>146</v>
      </c>
      <c r="B78" s="36" t="s">
        <v>28</v>
      </c>
      <c r="C78" s="38" t="s">
        <v>147</v>
      </c>
      <c r="D78" s="29">
        <f>27179310+3191000+1000000-3191000+250000+3000000+204000+18305904</f>
        <v>49939214</v>
      </c>
      <c r="E78" s="29">
        <f>4529880+2264940+2264940+1000000+2264940+2264940+2514940+2264940+2468940+5264940+12731440+10104374</f>
        <v>49939214</v>
      </c>
      <c r="F78" s="30">
        <f t="shared" ref="F78:F143" si="1">IF(D78-E78&lt;0,0,(D78-E78))</f>
        <v>0</v>
      </c>
    </row>
    <row r="79" spans="1:6" ht="26" x14ac:dyDescent="0.3">
      <c r="A79" s="35" t="s">
        <v>45</v>
      </c>
      <c r="B79" s="31" t="s">
        <v>28</v>
      </c>
      <c r="C79" s="32" t="s">
        <v>148</v>
      </c>
      <c r="D79" s="26">
        <f>D80</f>
        <v>10590774</v>
      </c>
      <c r="E79" s="26">
        <f>E80</f>
        <v>10590774</v>
      </c>
      <c r="F79" s="27">
        <f t="shared" si="1"/>
        <v>0</v>
      </c>
    </row>
    <row r="80" spans="1:6" ht="46.5" customHeight="1" x14ac:dyDescent="0.3">
      <c r="A80" s="37" t="s">
        <v>149</v>
      </c>
      <c r="B80" s="36" t="s">
        <v>28</v>
      </c>
      <c r="C80" s="38" t="s">
        <v>150</v>
      </c>
      <c r="D80" s="29">
        <f>8168152+2422622</f>
        <v>10590774</v>
      </c>
      <c r="E80" s="29">
        <f>7827000+341152+2422622</f>
        <v>10590774</v>
      </c>
      <c r="F80" s="30">
        <f t="shared" si="1"/>
        <v>0</v>
      </c>
    </row>
    <row r="81" spans="1:6" ht="19.5" customHeight="1" x14ac:dyDescent="0.3">
      <c r="A81" s="35" t="s">
        <v>151</v>
      </c>
      <c r="B81" s="36" t="s">
        <v>28</v>
      </c>
      <c r="C81" s="32" t="s">
        <v>152</v>
      </c>
      <c r="D81" s="26">
        <f>SUM(D82:D82)</f>
        <v>228050</v>
      </c>
      <c r="E81" s="26">
        <f>SUM(E82:E82)</f>
        <v>228050</v>
      </c>
      <c r="F81" s="27">
        <f t="shared" si="1"/>
        <v>0</v>
      </c>
    </row>
    <row r="82" spans="1:6" ht="31.5" x14ac:dyDescent="0.3">
      <c r="A82" s="41" t="s">
        <v>153</v>
      </c>
      <c r="B82" s="36" t="s">
        <v>28</v>
      </c>
      <c r="C82" s="38" t="s">
        <v>154</v>
      </c>
      <c r="D82" s="29">
        <f>33950+194100</f>
        <v>228050</v>
      </c>
      <c r="E82" s="29">
        <f>9000+14950+10000+500+193600</f>
        <v>228050</v>
      </c>
      <c r="F82" s="30">
        <f t="shared" si="1"/>
        <v>0</v>
      </c>
    </row>
    <row r="83" spans="1:6" ht="78" x14ac:dyDescent="0.3">
      <c r="A83" s="42" t="s">
        <v>155</v>
      </c>
      <c r="B83" s="36" t="s">
        <v>28</v>
      </c>
      <c r="C83" s="32" t="s">
        <v>156</v>
      </c>
      <c r="D83" s="26">
        <f>D84</f>
        <v>873246.5</v>
      </c>
      <c r="E83" s="26">
        <f>E84</f>
        <v>873246.5</v>
      </c>
      <c r="F83" s="27">
        <f t="shared" si="1"/>
        <v>0</v>
      </c>
    </row>
    <row r="84" spans="1:6" ht="31.5" x14ac:dyDescent="0.3">
      <c r="A84" s="41" t="s">
        <v>157</v>
      </c>
      <c r="B84" s="36" t="s">
        <v>28</v>
      </c>
      <c r="C84" s="38" t="s">
        <v>158</v>
      </c>
      <c r="D84" s="29">
        <v>873246.5</v>
      </c>
      <c r="E84" s="29">
        <v>873246.5</v>
      </c>
      <c r="F84" s="30">
        <f t="shared" si="1"/>
        <v>0</v>
      </c>
    </row>
    <row r="85" spans="1:6" ht="56.65" customHeight="1" x14ac:dyDescent="0.3">
      <c r="A85" s="35" t="s">
        <v>159</v>
      </c>
      <c r="B85" s="36" t="s">
        <v>28</v>
      </c>
      <c r="C85" s="32" t="s">
        <v>160</v>
      </c>
      <c r="D85" s="26">
        <f>D86</f>
        <v>-4287379.2799999993</v>
      </c>
      <c r="E85" s="26">
        <f>E86</f>
        <v>-4287379.2799999993</v>
      </c>
      <c r="F85" s="27">
        <f t="shared" si="1"/>
        <v>0</v>
      </c>
    </row>
    <row r="86" spans="1:6" ht="46.9" customHeight="1" x14ac:dyDescent="0.3">
      <c r="A86" s="37" t="s">
        <v>161</v>
      </c>
      <c r="B86" s="36" t="s">
        <v>28</v>
      </c>
      <c r="C86" s="38" t="s">
        <v>162</v>
      </c>
      <c r="D86" s="29">
        <f>-11522.56-4275856.72</f>
        <v>-4287379.2799999993</v>
      </c>
      <c r="E86" s="29">
        <f>-11522.56-4275856.72</f>
        <v>-4287379.2799999993</v>
      </c>
      <c r="F86" s="30">
        <f t="shared" si="1"/>
        <v>0</v>
      </c>
    </row>
    <row r="87" spans="1:6" ht="14" x14ac:dyDescent="0.3">
      <c r="A87" s="35"/>
      <c r="B87" s="36" t="s">
        <v>28</v>
      </c>
      <c r="C87" s="32" t="s">
        <v>163</v>
      </c>
      <c r="D87" s="26">
        <f>D88</f>
        <v>274592908</v>
      </c>
      <c r="E87" s="26">
        <f>E88</f>
        <v>278801281.31999993</v>
      </c>
      <c r="F87" s="27">
        <f t="shared" si="1"/>
        <v>0</v>
      </c>
    </row>
    <row r="88" spans="1:6" ht="26" x14ac:dyDescent="0.3">
      <c r="A88" s="33" t="s">
        <v>35</v>
      </c>
      <c r="B88" s="36" t="s">
        <v>28</v>
      </c>
      <c r="C88" s="32" t="s">
        <v>164</v>
      </c>
      <c r="D88" s="26">
        <f>D89+D198</f>
        <v>274592908</v>
      </c>
      <c r="E88" s="26">
        <f>E89+E198</f>
        <v>278801281.31999993</v>
      </c>
      <c r="F88" s="27">
        <f t="shared" si="1"/>
        <v>0</v>
      </c>
    </row>
    <row r="89" spans="1:6" ht="14" x14ac:dyDescent="0.3">
      <c r="A89" s="45" t="s">
        <v>165</v>
      </c>
      <c r="B89" s="36" t="s">
        <v>28</v>
      </c>
      <c r="C89" s="32" t="s">
        <v>166</v>
      </c>
      <c r="D89" s="26">
        <f>D90+D131+D170+D193+D125</f>
        <v>274592908</v>
      </c>
      <c r="E89" s="26">
        <f>E90+E131+E170+E193+E125</f>
        <v>278801281.31999993</v>
      </c>
      <c r="F89" s="27">
        <f t="shared" si="1"/>
        <v>0</v>
      </c>
    </row>
    <row r="90" spans="1:6" ht="14" x14ac:dyDescent="0.3">
      <c r="A90" s="46" t="s">
        <v>167</v>
      </c>
      <c r="B90" s="36" t="s">
        <v>28</v>
      </c>
      <c r="C90" s="32" t="s">
        <v>168</v>
      </c>
      <c r="D90" s="26">
        <f>+D92+D95+D102+D105+D109+D107+D111+D115+D121+D123+D113+D98+D100+D119+D117</f>
        <v>174640000</v>
      </c>
      <c r="E90" s="26">
        <f>+E92+E95+E102+E105+E109+E107+E111+E115+E121+E123+E113+E98+E100+E119+E117</f>
        <v>177584356.19999996</v>
      </c>
      <c r="F90" s="27">
        <f t="shared" si="1"/>
        <v>0</v>
      </c>
    </row>
    <row r="91" spans="1:6" ht="14" x14ac:dyDescent="0.3">
      <c r="A91" s="40" t="s">
        <v>30</v>
      </c>
      <c r="B91" s="23"/>
      <c r="C91" s="38"/>
      <c r="D91" s="29"/>
      <c r="E91" s="29"/>
      <c r="F91" s="30"/>
    </row>
    <row r="92" spans="1:6" s="44" customFormat="1" ht="152.15" customHeight="1" x14ac:dyDescent="0.3">
      <c r="A92" s="47" t="s">
        <v>169</v>
      </c>
      <c r="B92" s="39" t="s">
        <v>28</v>
      </c>
      <c r="C92" s="32" t="s">
        <v>170</v>
      </c>
      <c r="D92" s="26">
        <f>SUM(D93:D94)</f>
        <v>103360000</v>
      </c>
      <c r="E92" s="26">
        <f>SUM(E93:E94)</f>
        <v>105097355.61999999</v>
      </c>
      <c r="F92" s="27">
        <f t="shared" si="1"/>
        <v>0</v>
      </c>
    </row>
    <row r="93" spans="1:6" ht="172.5" customHeight="1" x14ac:dyDescent="0.3">
      <c r="A93" s="48" t="s">
        <v>171</v>
      </c>
      <c r="B93" s="36" t="s">
        <v>28</v>
      </c>
      <c r="C93" s="38" t="s">
        <v>172</v>
      </c>
      <c r="D93" s="29">
        <f>90000000+10100000+3000000+260000</f>
        <v>103360000</v>
      </c>
      <c r="E93" s="29">
        <f>4885028.29+9056758.65+8815502.75+7799382.18+7006607.73+8544491.93+9199856.26+8750898.06+7858507.45+8925051.84+9009908.85+15233789.69</f>
        <v>105085783.67999999</v>
      </c>
      <c r="F93" s="30">
        <f t="shared" si="1"/>
        <v>0</v>
      </c>
    </row>
    <row r="94" spans="1:6" ht="174" customHeight="1" x14ac:dyDescent="0.3">
      <c r="A94" s="48" t="s">
        <v>173</v>
      </c>
      <c r="B94" s="36" t="s">
        <v>28</v>
      </c>
      <c r="C94" s="38" t="s">
        <v>174</v>
      </c>
      <c r="D94" s="29"/>
      <c r="E94" s="29">
        <f>154+2221.99+1913.98+2740.56+3617.41+154+154+154+224.74+237.26</f>
        <v>11571.939999999999</v>
      </c>
      <c r="F94" s="30">
        <f t="shared" si="1"/>
        <v>0</v>
      </c>
    </row>
    <row r="95" spans="1:6" s="44" customFormat="1" ht="111.65" customHeight="1" x14ac:dyDescent="0.3">
      <c r="A95" s="47" t="s">
        <v>175</v>
      </c>
      <c r="B95" s="39" t="s">
        <v>28</v>
      </c>
      <c r="C95" s="32" t="s">
        <v>176</v>
      </c>
      <c r="D95" s="26">
        <f>SUM(D96:D97)</f>
        <v>415000</v>
      </c>
      <c r="E95" s="26">
        <f>SUM(E96:E97)</f>
        <v>317938.97999999992</v>
      </c>
      <c r="F95" s="27">
        <f t="shared" si="1"/>
        <v>97061.020000000077</v>
      </c>
    </row>
    <row r="96" spans="1:6" ht="128.5" customHeight="1" x14ac:dyDescent="0.3">
      <c r="A96" s="48" t="s">
        <v>177</v>
      </c>
      <c r="B96" s="36" t="s">
        <v>28</v>
      </c>
      <c r="C96" s="38" t="s">
        <v>178</v>
      </c>
      <c r="D96" s="29">
        <f>295000+60000+60000</f>
        <v>415000</v>
      </c>
      <c r="E96" s="29">
        <f>-65000+51959.6+677.87+46835.73+26873.6+240907.63+200+627.47+14466.29+261.8-0.01</f>
        <v>317809.97999999992</v>
      </c>
      <c r="F96" s="30">
        <f t="shared" si="1"/>
        <v>97190.020000000077</v>
      </c>
    </row>
    <row r="97" spans="1:6" ht="128.15" customHeight="1" x14ac:dyDescent="0.3">
      <c r="A97" s="48" t="s">
        <v>179</v>
      </c>
      <c r="B97" s="36" t="s">
        <v>28</v>
      </c>
      <c r="C97" s="38" t="s">
        <v>180</v>
      </c>
      <c r="D97" s="29"/>
      <c r="E97" s="29">
        <f>129</f>
        <v>129</v>
      </c>
      <c r="F97" s="30">
        <f t="shared" si="1"/>
        <v>0</v>
      </c>
    </row>
    <row r="98" spans="1:6" ht="100" customHeight="1" x14ac:dyDescent="0.3">
      <c r="A98" s="47" t="s">
        <v>181</v>
      </c>
      <c r="B98" s="39" t="s">
        <v>28</v>
      </c>
      <c r="C98" s="32" t="s">
        <v>182</v>
      </c>
      <c r="D98" s="26">
        <f>SUM(D99:D99)</f>
        <v>0</v>
      </c>
      <c r="E98" s="26">
        <f>SUM(E99:E99)</f>
        <v>12357.81</v>
      </c>
      <c r="F98" s="27">
        <f t="shared" si="1"/>
        <v>0</v>
      </c>
    </row>
    <row r="99" spans="1:6" ht="127.5" customHeight="1" x14ac:dyDescent="0.3">
      <c r="A99" s="48" t="s">
        <v>183</v>
      </c>
      <c r="B99" s="36" t="s">
        <v>28</v>
      </c>
      <c r="C99" s="38" t="s">
        <v>184</v>
      </c>
      <c r="D99" s="29"/>
      <c r="E99" s="29">
        <f>783.18+11574.63</f>
        <v>12357.81</v>
      </c>
      <c r="F99" s="30">
        <f t="shared" si="1"/>
        <v>0</v>
      </c>
    </row>
    <row r="100" spans="1:6" ht="99.65" customHeight="1" x14ac:dyDescent="0.3">
      <c r="A100" s="47" t="s">
        <v>185</v>
      </c>
      <c r="B100" s="39" t="s">
        <v>28</v>
      </c>
      <c r="C100" s="32" t="s">
        <v>186</v>
      </c>
      <c r="D100" s="26">
        <f>SUM(D101:D101)</f>
        <v>0</v>
      </c>
      <c r="E100" s="26">
        <f>SUM(E101:E101)</f>
        <v>83321.919999999998</v>
      </c>
      <c r="F100" s="27">
        <f t="shared" si="1"/>
        <v>0</v>
      </c>
    </row>
    <row r="101" spans="1:6" ht="127.5" customHeight="1" x14ac:dyDescent="0.3">
      <c r="A101" s="48" t="s">
        <v>187</v>
      </c>
      <c r="B101" s="36" t="s">
        <v>28</v>
      </c>
      <c r="C101" s="38" t="s">
        <v>188</v>
      </c>
      <c r="D101" s="29"/>
      <c r="E101" s="29">
        <f>83321.92</f>
        <v>83321.919999999998</v>
      </c>
      <c r="F101" s="30">
        <f t="shared" si="1"/>
        <v>0</v>
      </c>
    </row>
    <row r="102" spans="1:6" s="44" customFormat="1" ht="100" customHeight="1" x14ac:dyDescent="0.3">
      <c r="A102" s="47" t="s">
        <v>189</v>
      </c>
      <c r="B102" s="39" t="s">
        <v>28</v>
      </c>
      <c r="C102" s="32" t="s">
        <v>190</v>
      </c>
      <c r="D102" s="26">
        <f>SUM(D103:D104)</f>
        <v>2610000</v>
      </c>
      <c r="E102" s="26">
        <f>SUM(E103:E104)</f>
        <v>2630180.5700000003</v>
      </c>
      <c r="F102" s="27">
        <f t="shared" si="1"/>
        <v>0</v>
      </c>
    </row>
    <row r="103" spans="1:6" ht="118.5" customHeight="1" x14ac:dyDescent="0.3">
      <c r="A103" s="48" t="s">
        <v>191</v>
      </c>
      <c r="B103" s="36" t="s">
        <v>28</v>
      </c>
      <c r="C103" s="38" t="s">
        <v>192</v>
      </c>
      <c r="D103" s="29">
        <f>1150000+1300000+160000</f>
        <v>2610000</v>
      </c>
      <c r="E103" s="29">
        <f>176967.75+56266.43+30383.89+6542.4+6482.63+23384.05+1851726.68+68530.88+22686.66+63358.17+175958.66+134676.6</f>
        <v>2616964.8000000003</v>
      </c>
      <c r="F103" s="30">
        <f t="shared" si="1"/>
        <v>0</v>
      </c>
    </row>
    <row r="104" spans="1:6" ht="119.15" customHeight="1" x14ac:dyDescent="0.3">
      <c r="A104" s="48" t="s">
        <v>193</v>
      </c>
      <c r="B104" s="36" t="s">
        <v>28</v>
      </c>
      <c r="C104" s="38" t="s">
        <v>194</v>
      </c>
      <c r="D104" s="29"/>
      <c r="E104" s="29">
        <f>3186.01+773.78+1827.1+378.83+668.62+753.96+210.26+227.5+833.31+671.7+2124.8+1559.9</f>
        <v>13215.769999999999</v>
      </c>
      <c r="F104" s="30">
        <f t="shared" si="1"/>
        <v>0</v>
      </c>
    </row>
    <row r="105" spans="1:6" ht="313.5" customHeight="1" x14ac:dyDescent="0.3">
      <c r="A105" s="47" t="s">
        <v>195</v>
      </c>
      <c r="B105" s="39" t="s">
        <v>28</v>
      </c>
      <c r="C105" s="32" t="s">
        <v>196</v>
      </c>
      <c r="D105" s="26">
        <f>SUM(D106:D106)</f>
        <v>3000000</v>
      </c>
      <c r="E105" s="26">
        <f>SUM(E106:E106)</f>
        <v>3067034.31</v>
      </c>
      <c r="F105" s="27">
        <f t="shared" si="1"/>
        <v>0</v>
      </c>
    </row>
    <row r="106" spans="1:6" ht="330" customHeight="1" x14ac:dyDescent="0.3">
      <c r="A106" s="48" t="s">
        <v>197</v>
      </c>
      <c r="B106" s="36" t="s">
        <v>28</v>
      </c>
      <c r="C106" s="38" t="s">
        <v>198</v>
      </c>
      <c r="D106" s="29">
        <f>10000000-5000000-2000000</f>
        <v>3000000</v>
      </c>
      <c r="E106" s="29">
        <f>49146.93+110688.12+952497.63+119789.1+154152.45+146385.81+567870.86+146284.13+108365.54+110208.7+154196.1+447448.94</f>
        <v>3067034.31</v>
      </c>
      <c r="F106" s="30">
        <f t="shared" si="1"/>
        <v>0</v>
      </c>
    </row>
    <row r="107" spans="1:6" ht="74.150000000000006" customHeight="1" x14ac:dyDescent="0.3">
      <c r="A107" s="47" t="s">
        <v>199</v>
      </c>
      <c r="B107" s="49" t="s">
        <v>28</v>
      </c>
      <c r="C107" s="32" t="s">
        <v>200</v>
      </c>
      <c r="D107" s="26">
        <f>D108</f>
        <v>300000</v>
      </c>
      <c r="E107" s="26">
        <f>E108</f>
        <v>356903.7</v>
      </c>
      <c r="F107" s="27">
        <f t="shared" si="1"/>
        <v>0</v>
      </c>
    </row>
    <row r="108" spans="1:6" ht="89.5" customHeight="1" x14ac:dyDescent="0.3">
      <c r="A108" s="48" t="s">
        <v>201</v>
      </c>
      <c r="B108" s="36" t="s">
        <v>28</v>
      </c>
      <c r="C108" s="38" t="s">
        <v>202</v>
      </c>
      <c r="D108" s="29">
        <f>300000+140000-140000</f>
        <v>300000</v>
      </c>
      <c r="E108" s="29">
        <f>14232.9+149470.4+22478.1-22222.2+34901.3+1878.7+69334.1+6916+3250.1+13564.2+63100.1</f>
        <v>356903.7</v>
      </c>
      <c r="F108" s="30">
        <f t="shared" si="1"/>
        <v>0</v>
      </c>
    </row>
    <row r="109" spans="1:6" ht="72.650000000000006" customHeight="1" x14ac:dyDescent="0.3">
      <c r="A109" s="47" t="s">
        <v>203</v>
      </c>
      <c r="B109" s="39" t="s">
        <v>28</v>
      </c>
      <c r="C109" s="32" t="s">
        <v>204</v>
      </c>
      <c r="D109" s="26">
        <f>D110</f>
        <v>1375000</v>
      </c>
      <c r="E109" s="26">
        <f>E110</f>
        <v>1893883.86</v>
      </c>
      <c r="F109" s="27">
        <f t="shared" si="1"/>
        <v>0</v>
      </c>
    </row>
    <row r="110" spans="1:6" ht="88" customHeight="1" x14ac:dyDescent="0.3">
      <c r="A110" s="48" t="s">
        <v>205</v>
      </c>
      <c r="B110" s="36" t="s">
        <v>28</v>
      </c>
      <c r="C110" s="38" t="s">
        <v>206</v>
      </c>
      <c r="D110" s="29">
        <f>1255000+120000</f>
        <v>1375000</v>
      </c>
      <c r="E110" s="29">
        <f>80305.56+82457.28-59503.23+125295.83+27794.17+87229.8+332683.47+14568.66+256102.92+418118.59+528830.81</f>
        <v>1893883.86</v>
      </c>
      <c r="F110" s="30">
        <f t="shared" si="1"/>
        <v>0</v>
      </c>
    </row>
    <row r="111" spans="1:6" ht="205.5" customHeight="1" x14ac:dyDescent="0.3">
      <c r="A111" s="47" t="s">
        <v>207</v>
      </c>
      <c r="B111" s="39" t="s">
        <v>28</v>
      </c>
      <c r="C111" s="32" t="s">
        <v>208</v>
      </c>
      <c r="D111" s="26">
        <f>D112</f>
        <v>3230000</v>
      </c>
      <c r="E111" s="26">
        <f>E112</f>
        <v>3326807.3600000003</v>
      </c>
      <c r="F111" s="27">
        <f t="shared" si="1"/>
        <v>0</v>
      </c>
    </row>
    <row r="112" spans="1:6" ht="224.5" customHeight="1" x14ac:dyDescent="0.3">
      <c r="A112" s="48" t="s">
        <v>209</v>
      </c>
      <c r="B112" s="36" t="s">
        <v>28</v>
      </c>
      <c r="C112" s="38" t="s">
        <v>210</v>
      </c>
      <c r="D112" s="29">
        <f>4000000-1000000+230000</f>
        <v>3230000</v>
      </c>
      <c r="E112" s="29">
        <f>4800+204175.52+1101889.15+161829.99+312579.36+259789.81+170108.56+194793.28+200458.49+268600.54+151992.16+295790.5</f>
        <v>3326807.3600000003</v>
      </c>
      <c r="F112" s="30">
        <f t="shared" si="1"/>
        <v>0</v>
      </c>
    </row>
    <row r="113" spans="1:6" ht="207.65" customHeight="1" x14ac:dyDescent="0.3">
      <c r="A113" s="47" t="s">
        <v>211</v>
      </c>
      <c r="B113" s="39" t="s">
        <v>28</v>
      </c>
      <c r="C113" s="32" t="s">
        <v>212</v>
      </c>
      <c r="D113" s="26">
        <f>D114</f>
        <v>600000</v>
      </c>
      <c r="E113" s="26">
        <f>E114</f>
        <v>643910.82000000007</v>
      </c>
      <c r="F113" s="27">
        <f t="shared" si="1"/>
        <v>0</v>
      </c>
    </row>
    <row r="114" spans="1:6" ht="225" customHeight="1" x14ac:dyDescent="0.3">
      <c r="A114" s="48" t="s">
        <v>213</v>
      </c>
      <c r="B114" s="36" t="s">
        <v>28</v>
      </c>
      <c r="C114" s="38" t="s">
        <v>214</v>
      </c>
      <c r="D114" s="29">
        <f>600000</f>
        <v>600000</v>
      </c>
      <c r="E114" s="29">
        <f>145614.14+65490.33+71658.3+123669.27+62769.07+23488.29+6854.47+29923.46+43822.17+70621.32</f>
        <v>643910.82000000007</v>
      </c>
      <c r="F114" s="30">
        <f t="shared" si="1"/>
        <v>0</v>
      </c>
    </row>
    <row r="115" spans="1:6" ht="197.5" customHeight="1" x14ac:dyDescent="0.3">
      <c r="A115" s="47" t="s">
        <v>215</v>
      </c>
      <c r="B115" s="39" t="s">
        <v>28</v>
      </c>
      <c r="C115" s="32" t="s">
        <v>216</v>
      </c>
      <c r="D115" s="26">
        <f>D116</f>
        <v>0</v>
      </c>
      <c r="E115" s="26">
        <f>E116</f>
        <v>111</v>
      </c>
      <c r="F115" s="27">
        <f t="shared" si="1"/>
        <v>0</v>
      </c>
    </row>
    <row r="116" spans="1:6" ht="214.5" customHeight="1" x14ac:dyDescent="0.3">
      <c r="A116" s="48" t="s">
        <v>217</v>
      </c>
      <c r="B116" s="36" t="s">
        <v>28</v>
      </c>
      <c r="C116" s="38" t="s">
        <v>218</v>
      </c>
      <c r="D116" s="29">
        <f>500000-500000</f>
        <v>0</v>
      </c>
      <c r="E116" s="29">
        <f>39.66+116.52-45.18</f>
        <v>111</v>
      </c>
      <c r="F116" s="30">
        <f t="shared" si="1"/>
        <v>0</v>
      </c>
    </row>
    <row r="117" spans="1:6" ht="119.5" customHeight="1" x14ac:dyDescent="0.3">
      <c r="A117" s="47" t="s">
        <v>219</v>
      </c>
      <c r="B117" s="39" t="s">
        <v>28</v>
      </c>
      <c r="C117" s="32" t="s">
        <v>220</v>
      </c>
      <c r="D117" s="26">
        <f>D118</f>
        <v>0</v>
      </c>
      <c r="E117" s="26">
        <f>E118</f>
        <v>2974.41</v>
      </c>
      <c r="F117" s="27">
        <f>IF(D117-E117&lt;0,0,(D117-E117))</f>
        <v>0</v>
      </c>
    </row>
    <row r="118" spans="1:6" ht="143.5" customHeight="1" x14ac:dyDescent="0.3">
      <c r="A118" s="48" t="s">
        <v>221</v>
      </c>
      <c r="B118" s="36" t="s">
        <v>28</v>
      </c>
      <c r="C118" s="38" t="s">
        <v>222</v>
      </c>
      <c r="D118" s="29">
        <f>500000-500000</f>
        <v>0</v>
      </c>
      <c r="E118" s="29">
        <f>2974.41</f>
        <v>2974.41</v>
      </c>
      <c r="F118" s="30">
        <f>IF(D118-E118&lt;0,0,(D118-E118))</f>
        <v>0</v>
      </c>
    </row>
    <row r="119" spans="1:6" ht="47.5" customHeight="1" x14ac:dyDescent="0.3">
      <c r="A119" s="47" t="s">
        <v>223</v>
      </c>
      <c r="B119" s="39" t="s">
        <v>28</v>
      </c>
      <c r="C119" s="32" t="s">
        <v>224</v>
      </c>
      <c r="D119" s="26">
        <f>D120</f>
        <v>0</v>
      </c>
      <c r="E119" s="26">
        <f>E120</f>
        <v>473.2</v>
      </c>
      <c r="F119" s="27">
        <f t="shared" si="1"/>
        <v>0</v>
      </c>
    </row>
    <row r="120" spans="1:6" ht="71.150000000000006" customHeight="1" x14ac:dyDescent="0.3">
      <c r="A120" s="48" t="s">
        <v>225</v>
      </c>
      <c r="B120" s="36" t="s">
        <v>28</v>
      </c>
      <c r="C120" s="38" t="s">
        <v>226</v>
      </c>
      <c r="D120" s="29"/>
      <c r="E120" s="29">
        <f>53.3+419.9</f>
        <v>473.2</v>
      </c>
      <c r="F120" s="30">
        <f t="shared" si="1"/>
        <v>0</v>
      </c>
    </row>
    <row r="121" spans="1:6" ht="37.5" customHeight="1" x14ac:dyDescent="0.3">
      <c r="A121" s="47" t="s">
        <v>227</v>
      </c>
      <c r="B121" s="39" t="s">
        <v>28</v>
      </c>
      <c r="C121" s="32" t="s">
        <v>228</v>
      </c>
      <c r="D121" s="26">
        <f>D122</f>
        <v>59670000</v>
      </c>
      <c r="E121" s="26">
        <f>E122</f>
        <v>60038808.560000002</v>
      </c>
      <c r="F121" s="27">
        <f t="shared" si="1"/>
        <v>0</v>
      </c>
    </row>
    <row r="122" spans="1:6" ht="63.65" customHeight="1" x14ac:dyDescent="0.3">
      <c r="A122" s="48" t="s">
        <v>229</v>
      </c>
      <c r="B122" s="36" t="s">
        <v>28</v>
      </c>
      <c r="C122" s="38" t="s">
        <v>230</v>
      </c>
      <c r="D122" s="29">
        <f>54000000-9000000+7000000+4415000+3255000</f>
        <v>59670000</v>
      </c>
      <c r="E122" s="29">
        <f>1880368.61+4470241.04+4852992.65+6570423.61+5155966.6+5518818.28+4570542.43+4492057.41+4399834.19+5027236.38+5000166.38+8100160.98</f>
        <v>60038808.560000002</v>
      </c>
      <c r="F122" s="30">
        <f t="shared" si="1"/>
        <v>0</v>
      </c>
    </row>
    <row r="123" spans="1:6" ht="46" customHeight="1" x14ac:dyDescent="0.3">
      <c r="A123" s="47" t="s">
        <v>231</v>
      </c>
      <c r="B123" s="39" t="s">
        <v>28</v>
      </c>
      <c r="C123" s="32" t="s">
        <v>232</v>
      </c>
      <c r="D123" s="26">
        <f>D124</f>
        <v>80000</v>
      </c>
      <c r="E123" s="26">
        <f>E124</f>
        <v>112294.08</v>
      </c>
      <c r="F123" s="27">
        <f t="shared" si="1"/>
        <v>0</v>
      </c>
    </row>
    <row r="124" spans="1:6" ht="76" customHeight="1" x14ac:dyDescent="0.3">
      <c r="A124" s="48" t="s">
        <v>233</v>
      </c>
      <c r="B124" s="36" t="s">
        <v>28</v>
      </c>
      <c r="C124" s="38" t="s">
        <v>234</v>
      </c>
      <c r="D124" s="29">
        <f>1500000-1200000-275000+55000</f>
        <v>80000</v>
      </c>
      <c r="E124" s="29">
        <f>139.41+2336.13-1839.33-636.21+1825.47+955.44-2780.91+9962.28+11970.09+23700.15+11977.92+54683.64</f>
        <v>112294.08</v>
      </c>
      <c r="F124" s="30">
        <f t="shared" si="1"/>
        <v>0</v>
      </c>
    </row>
    <row r="125" spans="1:6" ht="32.5" customHeight="1" x14ac:dyDescent="0.3">
      <c r="A125" s="50" t="s">
        <v>235</v>
      </c>
      <c r="B125" s="39" t="s">
        <v>28</v>
      </c>
      <c r="C125" s="32" t="s">
        <v>236</v>
      </c>
      <c r="D125" s="26">
        <f>D126</f>
        <v>4270120</v>
      </c>
      <c r="E125" s="26">
        <f>E126</f>
        <v>4215683.0100000007</v>
      </c>
      <c r="F125" s="27">
        <f t="shared" si="1"/>
        <v>54436.989999999292</v>
      </c>
    </row>
    <row r="126" spans="1:6" ht="33" customHeight="1" x14ac:dyDescent="0.3">
      <c r="A126" s="50" t="s">
        <v>237</v>
      </c>
      <c r="B126" s="39" t="s">
        <v>28</v>
      </c>
      <c r="C126" s="32" t="s">
        <v>238</v>
      </c>
      <c r="D126" s="26">
        <f>SUM(D127:D130)</f>
        <v>4270120</v>
      </c>
      <c r="E126" s="26">
        <f>SUM(E127:E130)</f>
        <v>4215683.0100000007</v>
      </c>
      <c r="F126" s="27">
        <f t="shared" si="1"/>
        <v>54436.989999999292</v>
      </c>
    </row>
    <row r="127" spans="1:6" ht="80.150000000000006" customHeight="1" x14ac:dyDescent="0.3">
      <c r="A127" s="48" t="s">
        <v>239</v>
      </c>
      <c r="B127" s="36" t="s">
        <v>28</v>
      </c>
      <c r="C127" s="38" t="s">
        <v>240</v>
      </c>
      <c r="D127" s="29">
        <v>2233280</v>
      </c>
      <c r="E127" s="29">
        <f>173857.11+40518.52+289577.29+179283.52+175765.26+12348.57+357607.41+187462.08+180252.81+181091.62+183179.54+177580.87</f>
        <v>2138524.6</v>
      </c>
      <c r="F127" s="30">
        <f t="shared" si="1"/>
        <v>94755.399999999907</v>
      </c>
    </row>
    <row r="128" spans="1:6" ht="88.5" customHeight="1" x14ac:dyDescent="0.3">
      <c r="A128" s="48" t="s">
        <v>241</v>
      </c>
      <c r="B128" s="36" t="s">
        <v>28</v>
      </c>
      <c r="C128" s="38" t="s">
        <v>242</v>
      </c>
      <c r="D128" s="29">
        <v>10090</v>
      </c>
      <c r="E128" s="51">
        <f>880.88+432.57+1550.05+1084.49+1172.97+244.52+1931.9+979.69+1047.24+1007.5+1142.86+1038.8</f>
        <v>12513.470000000001</v>
      </c>
      <c r="F128" s="30">
        <f t="shared" si="1"/>
        <v>0</v>
      </c>
    </row>
    <row r="129" spans="1:6" ht="80.5" customHeight="1" x14ac:dyDescent="0.3">
      <c r="A129" s="48" t="s">
        <v>243</v>
      </c>
      <c r="B129" s="36" t="s">
        <v>28</v>
      </c>
      <c r="C129" s="38" t="s">
        <v>244</v>
      </c>
      <c r="D129" s="29">
        <v>2255500</v>
      </c>
      <c r="E129" s="51">
        <f>201280.52+40851.04+320348.17+197904.18+176648.38+12507.82+362377.36+200470.5+199200.41+181263.21+196897.15+188719.92</f>
        <v>2278468.6599999997</v>
      </c>
      <c r="F129" s="30">
        <f t="shared" si="1"/>
        <v>0</v>
      </c>
    </row>
    <row r="130" spans="1:6" ht="82" customHeight="1" x14ac:dyDescent="0.3">
      <c r="A130" s="48" t="s">
        <v>245</v>
      </c>
      <c r="B130" s="36" t="s">
        <v>28</v>
      </c>
      <c r="C130" s="38" t="s">
        <v>246</v>
      </c>
      <c r="D130" s="29">
        <v>-228750</v>
      </c>
      <c r="E130" s="51">
        <f>-14578.03-13214.3-15545.34-12844.51-19598.72-18047.93-15727.32-22670.45-30388.43-14277.21-13842.17-23089.31</f>
        <v>-213823.72</v>
      </c>
      <c r="F130" s="30">
        <f t="shared" si="1"/>
        <v>0</v>
      </c>
    </row>
    <row r="131" spans="1:6" ht="24" customHeight="1" x14ac:dyDescent="0.3">
      <c r="A131" s="35" t="s">
        <v>247</v>
      </c>
      <c r="B131" s="36" t="s">
        <v>28</v>
      </c>
      <c r="C131" s="32" t="s">
        <v>248</v>
      </c>
      <c r="D131" s="26">
        <f>D132+D152+D163+D167</f>
        <v>50322788</v>
      </c>
      <c r="E131" s="26">
        <f>E132+E152+E163+E167</f>
        <v>50648786.920000002</v>
      </c>
      <c r="F131" s="27">
        <f t="shared" si="1"/>
        <v>0</v>
      </c>
    </row>
    <row r="132" spans="1:6" ht="39" x14ac:dyDescent="0.3">
      <c r="A132" s="35" t="s">
        <v>249</v>
      </c>
      <c r="B132" s="36" t="s">
        <v>28</v>
      </c>
      <c r="C132" s="32" t="s">
        <v>250</v>
      </c>
      <c r="D132" s="26">
        <f>D133+D140+D148</f>
        <v>49245000</v>
      </c>
      <c r="E132" s="26">
        <f>E133+E140+E148</f>
        <v>49570960.289999999</v>
      </c>
      <c r="F132" s="27">
        <f t="shared" si="1"/>
        <v>0</v>
      </c>
    </row>
    <row r="133" spans="1:6" ht="31.5" x14ac:dyDescent="0.3">
      <c r="A133" s="52" t="s">
        <v>251</v>
      </c>
      <c r="B133" s="36" t="s">
        <v>28</v>
      </c>
      <c r="C133" s="53" t="s">
        <v>252</v>
      </c>
      <c r="D133" s="54">
        <f>+D134+D137</f>
        <v>32710000</v>
      </c>
      <c r="E133" s="54">
        <f>+E134+E137</f>
        <v>33022551.040000003</v>
      </c>
      <c r="F133" s="27">
        <f t="shared" si="1"/>
        <v>0</v>
      </c>
    </row>
    <row r="134" spans="1:6" s="44" customFormat="1" ht="31.5" x14ac:dyDescent="0.3">
      <c r="A134" s="43" t="s">
        <v>251</v>
      </c>
      <c r="B134" s="39" t="s">
        <v>28</v>
      </c>
      <c r="C134" s="32" t="s">
        <v>253</v>
      </c>
      <c r="D134" s="26">
        <f>SUM(D135:D136)</f>
        <v>32710000</v>
      </c>
      <c r="E134" s="26">
        <f>SUM(E135:E136)</f>
        <v>33022551.040000003</v>
      </c>
      <c r="F134" s="27">
        <f t="shared" si="1"/>
        <v>0</v>
      </c>
    </row>
    <row r="135" spans="1:6" ht="55.5" customHeight="1" x14ac:dyDescent="0.3">
      <c r="A135" s="41" t="s">
        <v>254</v>
      </c>
      <c r="B135" s="36" t="s">
        <v>28</v>
      </c>
      <c r="C135" s="38" t="s">
        <v>255</v>
      </c>
      <c r="D135" s="29">
        <f>35150000-2440000</f>
        <v>32710000</v>
      </c>
      <c r="E135" s="29">
        <f>293790.22+1563666.88+3410440.84+10425010.56+2283220.64+1445929.7+5268385.26+987610.97+282546.71+5409571.62+709123.69+897332.2</f>
        <v>32976629.290000003</v>
      </c>
      <c r="F135" s="30">
        <f t="shared" si="1"/>
        <v>0</v>
      </c>
    </row>
    <row r="136" spans="1:6" ht="54" customHeight="1" x14ac:dyDescent="0.3">
      <c r="A136" s="41" t="s">
        <v>256</v>
      </c>
      <c r="B136" s="36" t="s">
        <v>28</v>
      </c>
      <c r="C136" s="38" t="s">
        <v>257</v>
      </c>
      <c r="D136" s="29"/>
      <c r="E136" s="29">
        <f>44798.02+135+427.13-135+0.01+696.6-0.01</f>
        <v>45921.749999999993</v>
      </c>
      <c r="F136" s="30">
        <f t="shared" si="1"/>
        <v>0</v>
      </c>
    </row>
    <row r="137" spans="1:6" s="44" customFormat="1" ht="46.15" hidden="1" customHeight="1" x14ac:dyDescent="0.3">
      <c r="A137" s="43" t="s">
        <v>258</v>
      </c>
      <c r="B137" s="39" t="s">
        <v>28</v>
      </c>
      <c r="C137" s="32" t="s">
        <v>259</v>
      </c>
      <c r="D137" s="26">
        <f>SUM(D138:D139)</f>
        <v>0</v>
      </c>
      <c r="E137" s="26">
        <f>SUM(E138:E139)</f>
        <v>0</v>
      </c>
      <c r="F137" s="30">
        <f t="shared" si="1"/>
        <v>0</v>
      </c>
    </row>
    <row r="138" spans="1:6" ht="70.150000000000006" hidden="1" customHeight="1" x14ac:dyDescent="0.3">
      <c r="A138" s="37" t="s">
        <v>260</v>
      </c>
      <c r="B138" s="36" t="s">
        <v>28</v>
      </c>
      <c r="C138" s="38" t="s">
        <v>261</v>
      </c>
      <c r="D138" s="29"/>
      <c r="E138" s="29"/>
      <c r="F138" s="30">
        <f t="shared" si="1"/>
        <v>0</v>
      </c>
    </row>
    <row r="139" spans="1:6" ht="79.900000000000006" hidden="1" customHeight="1" x14ac:dyDescent="0.3">
      <c r="A139" s="37" t="s">
        <v>262</v>
      </c>
      <c r="B139" s="36" t="s">
        <v>28</v>
      </c>
      <c r="C139" s="38" t="s">
        <v>263</v>
      </c>
      <c r="D139" s="29"/>
      <c r="E139" s="29"/>
      <c r="F139" s="30">
        <f t="shared" si="1"/>
        <v>0</v>
      </c>
    </row>
    <row r="140" spans="1:6" ht="41.65" customHeight="1" x14ac:dyDescent="0.3">
      <c r="A140" s="52" t="s">
        <v>264</v>
      </c>
      <c r="B140" s="36" t="s">
        <v>28</v>
      </c>
      <c r="C140" s="53" t="s">
        <v>265</v>
      </c>
      <c r="D140" s="54">
        <f>+D141+D144</f>
        <v>16535000</v>
      </c>
      <c r="E140" s="54">
        <f>+E141+E144</f>
        <v>16548409.249999996</v>
      </c>
      <c r="F140" s="27">
        <f t="shared" si="1"/>
        <v>0</v>
      </c>
    </row>
    <row r="141" spans="1:6" s="44" customFormat="1" ht="42" x14ac:dyDescent="0.3">
      <c r="A141" s="43" t="s">
        <v>264</v>
      </c>
      <c r="B141" s="39" t="s">
        <v>28</v>
      </c>
      <c r="C141" s="32" t="s">
        <v>266</v>
      </c>
      <c r="D141" s="26">
        <f>SUM(D142:D143)</f>
        <v>16535000</v>
      </c>
      <c r="E141" s="26">
        <f>SUM(E142:E143)</f>
        <v>16548409.249999996</v>
      </c>
      <c r="F141" s="27">
        <f t="shared" si="1"/>
        <v>0</v>
      </c>
    </row>
    <row r="142" spans="1:6" ht="73.5" customHeight="1" x14ac:dyDescent="0.3">
      <c r="A142" s="41" t="s">
        <v>267</v>
      </c>
      <c r="B142" s="36" t="s">
        <v>28</v>
      </c>
      <c r="C142" s="38" t="s">
        <v>268</v>
      </c>
      <c r="D142" s="29">
        <f>17095000-560000</f>
        <v>16535000</v>
      </c>
      <c r="E142" s="29">
        <f>109875.18-9092.81+6460646.99+5501559+901810.79+668846.37+1541340.84+201990.9+111040.51+913234.99+101714.37+34153.03</f>
        <v>16537120.159999996</v>
      </c>
      <c r="F142" s="30">
        <f t="shared" si="1"/>
        <v>0</v>
      </c>
    </row>
    <row r="143" spans="1:6" ht="77.5" customHeight="1" x14ac:dyDescent="0.3">
      <c r="A143" s="41" t="s">
        <v>269</v>
      </c>
      <c r="B143" s="36" t="s">
        <v>28</v>
      </c>
      <c r="C143" s="38" t="s">
        <v>270</v>
      </c>
      <c r="D143" s="29"/>
      <c r="E143" s="29">
        <f>620.45+4.05+6558.64+2287.49+1818.46</f>
        <v>11289.09</v>
      </c>
      <c r="F143" s="30">
        <f t="shared" si="1"/>
        <v>0</v>
      </c>
    </row>
    <row r="144" spans="1:6" s="44" customFormat="1" ht="55" hidden="1" customHeight="1" x14ac:dyDescent="0.3">
      <c r="A144" s="55" t="s">
        <v>271</v>
      </c>
      <c r="B144" s="39" t="s">
        <v>28</v>
      </c>
      <c r="C144" s="32" t="s">
        <v>272</v>
      </c>
      <c r="D144" s="26">
        <f>SUM(D145:D147)</f>
        <v>0</v>
      </c>
      <c r="E144" s="26">
        <f>SUM(E145:E147)</f>
        <v>0</v>
      </c>
      <c r="F144" s="30">
        <f t="shared" ref="F144:F203" si="2">IF(D144-E144&lt;0,0,(D144-E144))</f>
        <v>0</v>
      </c>
    </row>
    <row r="145" spans="1:6" ht="73.5" hidden="1" customHeight="1" x14ac:dyDescent="0.3">
      <c r="A145" s="37" t="s">
        <v>273</v>
      </c>
      <c r="B145" s="36" t="s">
        <v>28</v>
      </c>
      <c r="C145" s="38" t="s">
        <v>274</v>
      </c>
      <c r="D145" s="29"/>
      <c r="E145" s="29"/>
      <c r="F145" s="30">
        <f t="shared" si="2"/>
        <v>0</v>
      </c>
    </row>
    <row r="146" spans="1:6" ht="73.5" hidden="1" customHeight="1" x14ac:dyDescent="0.3">
      <c r="A146" s="37" t="s">
        <v>275</v>
      </c>
      <c r="B146" s="36" t="s">
        <v>28</v>
      </c>
      <c r="C146" s="38" t="s">
        <v>276</v>
      </c>
      <c r="D146" s="29"/>
      <c r="E146" s="29"/>
      <c r="F146" s="30">
        <f t="shared" si="2"/>
        <v>0</v>
      </c>
    </row>
    <row r="147" spans="1:6" ht="73.5" hidden="1" customHeight="1" x14ac:dyDescent="0.3">
      <c r="A147" s="37" t="s">
        <v>277</v>
      </c>
      <c r="B147" s="36" t="s">
        <v>28</v>
      </c>
      <c r="C147" s="38" t="s">
        <v>278</v>
      </c>
      <c r="D147" s="29"/>
      <c r="E147" s="29"/>
      <c r="F147" s="30">
        <f t="shared" si="2"/>
        <v>0</v>
      </c>
    </row>
    <row r="148" spans="1:6" ht="33" hidden="1" customHeight="1" x14ac:dyDescent="0.3">
      <c r="A148" s="55" t="s">
        <v>279</v>
      </c>
      <c r="B148" s="39" t="s">
        <v>28</v>
      </c>
      <c r="C148" s="32" t="s">
        <v>280</v>
      </c>
      <c r="D148" s="26"/>
      <c r="E148" s="26">
        <f>SUM(E149:E151)</f>
        <v>0</v>
      </c>
      <c r="F148" s="30">
        <f t="shared" si="2"/>
        <v>0</v>
      </c>
    </row>
    <row r="149" spans="1:6" ht="31.5" hidden="1" x14ac:dyDescent="0.3">
      <c r="A149" s="41" t="s">
        <v>279</v>
      </c>
      <c r="B149" s="36" t="s">
        <v>28</v>
      </c>
      <c r="C149" s="38" t="s">
        <v>281</v>
      </c>
      <c r="D149" s="29"/>
      <c r="E149" s="29"/>
      <c r="F149" s="30">
        <f t="shared" si="2"/>
        <v>0</v>
      </c>
    </row>
    <row r="150" spans="1:6" ht="42" hidden="1" x14ac:dyDescent="0.3">
      <c r="A150" s="41" t="s">
        <v>282</v>
      </c>
      <c r="B150" s="36" t="s">
        <v>28</v>
      </c>
      <c r="C150" s="38" t="s">
        <v>283</v>
      </c>
      <c r="D150" s="29"/>
      <c r="E150" s="29"/>
      <c r="F150" s="30">
        <f t="shared" si="2"/>
        <v>0</v>
      </c>
    </row>
    <row r="151" spans="1:6" ht="42" hidden="1" x14ac:dyDescent="0.3">
      <c r="A151" s="41" t="s">
        <v>284</v>
      </c>
      <c r="B151" s="36" t="s">
        <v>28</v>
      </c>
      <c r="C151" s="38" t="s">
        <v>285</v>
      </c>
      <c r="D151" s="29"/>
      <c r="E151" s="29"/>
      <c r="F151" s="30">
        <f t="shared" si="2"/>
        <v>0</v>
      </c>
    </row>
    <row r="152" spans="1:6" ht="26" hidden="1" x14ac:dyDescent="0.3">
      <c r="A152" s="42" t="s">
        <v>286</v>
      </c>
      <c r="B152" s="36" t="s">
        <v>28</v>
      </c>
      <c r="C152" s="32" t="s">
        <v>287</v>
      </c>
      <c r="D152" s="26">
        <f>+D153+D158</f>
        <v>0</v>
      </c>
      <c r="E152" s="26">
        <f>+E153+E158</f>
        <v>0</v>
      </c>
      <c r="F152" s="30">
        <f t="shared" si="2"/>
        <v>0</v>
      </c>
    </row>
    <row r="153" spans="1:6" s="44" customFormat="1" ht="21" hidden="1" x14ac:dyDescent="0.3">
      <c r="A153" s="55" t="s">
        <v>286</v>
      </c>
      <c r="B153" s="39" t="s">
        <v>28</v>
      </c>
      <c r="C153" s="32" t="s">
        <v>288</v>
      </c>
      <c r="D153" s="26">
        <f>SUM(D154:D157)</f>
        <v>0</v>
      </c>
      <c r="E153" s="26">
        <f>SUM(E154:E157)</f>
        <v>0</v>
      </c>
      <c r="F153" s="30">
        <f t="shared" si="2"/>
        <v>0</v>
      </c>
    </row>
    <row r="154" spans="1:6" ht="52.5" hidden="1" x14ac:dyDescent="0.3">
      <c r="A154" s="41" t="s">
        <v>289</v>
      </c>
      <c r="B154" s="36" t="s">
        <v>28</v>
      </c>
      <c r="C154" s="38" t="s">
        <v>290</v>
      </c>
      <c r="D154" s="29"/>
      <c r="E154" s="29"/>
      <c r="F154" s="30">
        <f t="shared" si="2"/>
        <v>0</v>
      </c>
    </row>
    <row r="155" spans="1:6" ht="31.5" hidden="1" x14ac:dyDescent="0.3">
      <c r="A155" s="41" t="s">
        <v>291</v>
      </c>
      <c r="B155" s="36" t="s">
        <v>28</v>
      </c>
      <c r="C155" s="38" t="s">
        <v>292</v>
      </c>
      <c r="D155" s="29"/>
      <c r="E155" s="29"/>
      <c r="F155" s="30">
        <f t="shared" si="2"/>
        <v>0</v>
      </c>
    </row>
    <row r="156" spans="1:6" ht="52.5" hidden="1" x14ac:dyDescent="0.3">
      <c r="A156" s="41" t="s">
        <v>293</v>
      </c>
      <c r="B156" s="36" t="s">
        <v>28</v>
      </c>
      <c r="C156" s="38" t="s">
        <v>294</v>
      </c>
      <c r="D156" s="29"/>
      <c r="E156" s="29"/>
      <c r="F156" s="30">
        <f t="shared" si="2"/>
        <v>0</v>
      </c>
    </row>
    <row r="157" spans="1:6" ht="31.5" hidden="1" x14ac:dyDescent="0.3">
      <c r="A157" s="41" t="s">
        <v>295</v>
      </c>
      <c r="B157" s="36" t="s">
        <v>28</v>
      </c>
      <c r="C157" s="38" t="s">
        <v>296</v>
      </c>
      <c r="D157" s="29"/>
      <c r="E157" s="29"/>
      <c r="F157" s="30">
        <f t="shared" si="2"/>
        <v>0</v>
      </c>
    </row>
    <row r="158" spans="1:6" s="44" customFormat="1" ht="31.5" hidden="1" x14ac:dyDescent="0.3">
      <c r="A158" s="55" t="s">
        <v>297</v>
      </c>
      <c r="B158" s="39" t="s">
        <v>28</v>
      </c>
      <c r="C158" s="32" t="s">
        <v>298</v>
      </c>
      <c r="D158" s="26">
        <f>SUM(D159:D162)</f>
        <v>0</v>
      </c>
      <c r="E158" s="26">
        <f>SUM(E159:E162)</f>
        <v>0</v>
      </c>
      <c r="F158" s="30">
        <f t="shared" si="2"/>
        <v>0</v>
      </c>
    </row>
    <row r="159" spans="1:6" ht="63" hidden="1" x14ac:dyDescent="0.3">
      <c r="A159" s="41" t="s">
        <v>299</v>
      </c>
      <c r="B159" s="36" t="s">
        <v>28</v>
      </c>
      <c r="C159" s="38" t="s">
        <v>300</v>
      </c>
      <c r="D159" s="29"/>
      <c r="E159" s="29"/>
      <c r="F159" s="30">
        <f t="shared" si="2"/>
        <v>0</v>
      </c>
    </row>
    <row r="160" spans="1:6" ht="42" hidden="1" x14ac:dyDescent="0.3">
      <c r="A160" s="41" t="s">
        <v>301</v>
      </c>
      <c r="B160" s="36" t="s">
        <v>28</v>
      </c>
      <c r="C160" s="38" t="s">
        <v>302</v>
      </c>
      <c r="D160" s="29"/>
      <c r="E160" s="29"/>
      <c r="F160" s="30">
        <f t="shared" si="2"/>
        <v>0</v>
      </c>
    </row>
    <row r="161" spans="1:6" ht="63" hidden="1" x14ac:dyDescent="0.3">
      <c r="A161" s="41" t="s">
        <v>303</v>
      </c>
      <c r="B161" s="36" t="s">
        <v>28</v>
      </c>
      <c r="C161" s="38" t="s">
        <v>304</v>
      </c>
      <c r="D161" s="29"/>
      <c r="E161" s="29"/>
      <c r="F161" s="30">
        <f t="shared" si="2"/>
        <v>0</v>
      </c>
    </row>
    <row r="162" spans="1:6" ht="42" hidden="1" x14ac:dyDescent="0.3">
      <c r="A162" s="41" t="s">
        <v>305</v>
      </c>
      <c r="B162" s="36" t="s">
        <v>28</v>
      </c>
      <c r="C162" s="38" t="s">
        <v>306</v>
      </c>
      <c r="D162" s="29"/>
      <c r="E162" s="29"/>
      <c r="F162" s="30">
        <f t="shared" si="2"/>
        <v>0</v>
      </c>
    </row>
    <row r="163" spans="1:6" ht="20.149999999999999" customHeight="1" x14ac:dyDescent="0.3">
      <c r="A163" s="56" t="s">
        <v>307</v>
      </c>
      <c r="B163" s="36" t="s">
        <v>28</v>
      </c>
      <c r="C163" s="32" t="s">
        <v>308</v>
      </c>
      <c r="D163" s="26">
        <f>+D164</f>
        <v>1066288</v>
      </c>
      <c r="E163" s="26">
        <f>+E164</f>
        <v>1066288</v>
      </c>
      <c r="F163" s="27">
        <f t="shared" si="2"/>
        <v>0</v>
      </c>
    </row>
    <row r="164" spans="1:6" s="44" customFormat="1" ht="16.899999999999999" customHeight="1" x14ac:dyDescent="0.3">
      <c r="A164" s="56" t="s">
        <v>307</v>
      </c>
      <c r="B164" s="39" t="s">
        <v>28</v>
      </c>
      <c r="C164" s="32" t="s">
        <v>309</v>
      </c>
      <c r="D164" s="26">
        <f>SUM(D165:D166)</f>
        <v>1066288</v>
      </c>
      <c r="E164" s="26">
        <f>SUM(E165:E166)</f>
        <v>1066288</v>
      </c>
      <c r="F164" s="27">
        <f t="shared" si="2"/>
        <v>0</v>
      </c>
    </row>
    <row r="165" spans="1:6" ht="46.9" customHeight="1" x14ac:dyDescent="0.3">
      <c r="A165" s="57" t="s">
        <v>310</v>
      </c>
      <c r="B165" s="36" t="s">
        <v>28</v>
      </c>
      <c r="C165" s="38" t="s">
        <v>311</v>
      </c>
      <c r="D165" s="29">
        <f>415000+350000+301288</f>
        <v>1066288</v>
      </c>
      <c r="E165" s="29">
        <f>40951.52+444785.48+360755+219796</f>
        <v>1066288</v>
      </c>
      <c r="F165" s="30">
        <f t="shared" si="2"/>
        <v>0</v>
      </c>
    </row>
    <row r="166" spans="1:6" ht="53.25" hidden="1" customHeight="1" x14ac:dyDescent="0.3">
      <c r="A166" s="58" t="s">
        <v>312</v>
      </c>
      <c r="B166" s="36" t="s">
        <v>28</v>
      </c>
      <c r="C166" s="38" t="s">
        <v>313</v>
      </c>
      <c r="D166" s="29"/>
      <c r="E166" s="29"/>
      <c r="F166" s="30">
        <f t="shared" si="2"/>
        <v>0</v>
      </c>
    </row>
    <row r="167" spans="1:6" ht="46" x14ac:dyDescent="0.3">
      <c r="A167" s="59" t="s">
        <v>314</v>
      </c>
      <c r="B167" s="39" t="s">
        <v>28</v>
      </c>
      <c r="C167" s="32" t="s">
        <v>315</v>
      </c>
      <c r="D167" s="26">
        <f>SUM(D168:D169)</f>
        <v>11500</v>
      </c>
      <c r="E167" s="26">
        <f>SUM(E168:E169)</f>
        <v>11538.63</v>
      </c>
      <c r="F167" s="27">
        <f t="shared" si="2"/>
        <v>0</v>
      </c>
    </row>
    <row r="168" spans="1:6" ht="80.5" x14ac:dyDescent="0.3">
      <c r="A168" s="57" t="s">
        <v>316</v>
      </c>
      <c r="B168" s="36" t="s">
        <v>28</v>
      </c>
      <c r="C168" s="38" t="s">
        <v>317</v>
      </c>
      <c r="D168" s="29">
        <f>10000+1500</f>
        <v>11500</v>
      </c>
      <c r="E168" s="29">
        <f>2957.96+3004.68+1173.84+156.37+228.34+698.46+512.34+1663.08+1030.47+113.09</f>
        <v>11538.63</v>
      </c>
      <c r="F168" s="30">
        <f t="shared" si="2"/>
        <v>0</v>
      </c>
    </row>
    <row r="169" spans="1:6" ht="82" hidden="1" customHeight="1" x14ac:dyDescent="0.3">
      <c r="A169" s="57" t="s">
        <v>318</v>
      </c>
      <c r="B169" s="36" t="s">
        <v>28</v>
      </c>
      <c r="C169" s="38" t="s">
        <v>319</v>
      </c>
      <c r="D169" s="29"/>
      <c r="E169" s="29"/>
      <c r="F169" s="30">
        <f t="shared" si="2"/>
        <v>0</v>
      </c>
    </row>
    <row r="170" spans="1:6" ht="14" x14ac:dyDescent="0.3">
      <c r="A170" s="35" t="s">
        <v>320</v>
      </c>
      <c r="B170" s="36" t="s">
        <v>28</v>
      </c>
      <c r="C170" s="32" t="s">
        <v>321</v>
      </c>
      <c r="D170" s="26">
        <f>D171+D175+D186</f>
        <v>45360000</v>
      </c>
      <c r="E170" s="26">
        <f>E171+E175+E186</f>
        <v>46352455.189999998</v>
      </c>
      <c r="F170" s="27">
        <f t="shared" si="2"/>
        <v>0</v>
      </c>
    </row>
    <row r="171" spans="1:6" s="44" customFormat="1" ht="43.5" customHeight="1" x14ac:dyDescent="0.3">
      <c r="A171" s="55" t="s">
        <v>322</v>
      </c>
      <c r="B171" s="39" t="s">
        <v>28</v>
      </c>
      <c r="C171" s="32" t="s">
        <v>323</v>
      </c>
      <c r="D171" s="26">
        <f>SUM(D172:D174)</f>
        <v>15560000</v>
      </c>
      <c r="E171" s="26">
        <f>SUM(E172:E174)</f>
        <v>16090564.890000001</v>
      </c>
      <c r="F171" s="27">
        <f t="shared" si="2"/>
        <v>0</v>
      </c>
    </row>
    <row r="172" spans="1:6" ht="64.5" customHeight="1" x14ac:dyDescent="0.3">
      <c r="A172" s="41" t="s">
        <v>324</v>
      </c>
      <c r="B172" s="36" t="s">
        <v>28</v>
      </c>
      <c r="C172" s="38" t="s">
        <v>325</v>
      </c>
      <c r="D172" s="29">
        <f>16150000-590000</f>
        <v>15560000</v>
      </c>
      <c r="E172" s="29">
        <f>553487.47+420696.54+387161.11+250219.85+163083.62+210537.14+300937.73+2908895.46+1601835.32+2207023.6+4616107.46+2470579.59</f>
        <v>16090564.890000001</v>
      </c>
      <c r="F172" s="30">
        <f t="shared" si="2"/>
        <v>0</v>
      </c>
    </row>
    <row r="173" spans="1:6" ht="52.5" hidden="1" x14ac:dyDescent="0.3">
      <c r="A173" s="37" t="s">
        <v>326</v>
      </c>
      <c r="B173" s="36" t="s">
        <v>28</v>
      </c>
      <c r="C173" s="38" t="s">
        <v>327</v>
      </c>
      <c r="D173" s="29"/>
      <c r="E173" s="29"/>
      <c r="F173" s="30">
        <f t="shared" si="2"/>
        <v>0</v>
      </c>
    </row>
    <row r="174" spans="1:6" ht="63" hidden="1" x14ac:dyDescent="0.3">
      <c r="A174" s="37" t="s">
        <v>328</v>
      </c>
      <c r="B174" s="36" t="s">
        <v>28</v>
      </c>
      <c r="C174" s="38" t="s">
        <v>329</v>
      </c>
      <c r="D174" s="29"/>
      <c r="E174" s="29"/>
      <c r="F174" s="30">
        <f t="shared" si="2"/>
        <v>0</v>
      </c>
    </row>
    <row r="175" spans="1:6" ht="14" x14ac:dyDescent="0.3">
      <c r="A175" s="35" t="s">
        <v>330</v>
      </c>
      <c r="B175" s="36" t="s">
        <v>28</v>
      </c>
      <c r="C175" s="32" t="s">
        <v>331</v>
      </c>
      <c r="D175" s="26">
        <f>+D176+D181</f>
        <v>18000000</v>
      </c>
      <c r="E175" s="26">
        <f>+E176+E181</f>
        <v>18307323.789999999</v>
      </c>
      <c r="F175" s="27">
        <f t="shared" si="2"/>
        <v>0</v>
      </c>
    </row>
    <row r="176" spans="1:6" s="44" customFormat="1" ht="14" x14ac:dyDescent="0.3">
      <c r="A176" s="43" t="s">
        <v>332</v>
      </c>
      <c r="B176" s="39" t="s">
        <v>28</v>
      </c>
      <c r="C176" s="32" t="s">
        <v>333</v>
      </c>
      <c r="D176" s="26">
        <f>SUM(D177:D180)</f>
        <v>3550000</v>
      </c>
      <c r="E176" s="26">
        <f>SUM(E177:E180)</f>
        <v>3537233.27</v>
      </c>
      <c r="F176" s="27">
        <f t="shared" si="2"/>
        <v>12766.729999999981</v>
      </c>
    </row>
    <row r="177" spans="1:6" ht="42" x14ac:dyDescent="0.3">
      <c r="A177" s="37" t="s">
        <v>334</v>
      </c>
      <c r="B177" s="36" t="s">
        <v>28</v>
      </c>
      <c r="C177" s="38" t="s">
        <v>335</v>
      </c>
      <c r="D177" s="29">
        <f>3100000+450000</f>
        <v>3550000</v>
      </c>
      <c r="E177" s="29">
        <f>5928.87+726985.73+256684.81+797054.59+162342.65-152540.58+709546.93+105009.55+43664.02+783344.16+76779.7+22432.84</f>
        <v>3537233.27</v>
      </c>
      <c r="F177" s="30">
        <f t="shared" si="2"/>
        <v>12766.729999999981</v>
      </c>
    </row>
    <row r="178" spans="1:6" ht="21" hidden="1" x14ac:dyDescent="0.3">
      <c r="A178" s="37" t="s">
        <v>336</v>
      </c>
      <c r="B178" s="36" t="s">
        <v>28</v>
      </c>
      <c r="C178" s="38" t="s">
        <v>337</v>
      </c>
      <c r="D178" s="29"/>
      <c r="E178" s="29"/>
      <c r="F178" s="30">
        <f t="shared" si="2"/>
        <v>0</v>
      </c>
    </row>
    <row r="179" spans="1:6" ht="42" hidden="1" x14ac:dyDescent="0.3">
      <c r="A179" s="37" t="s">
        <v>338</v>
      </c>
      <c r="B179" s="36" t="s">
        <v>28</v>
      </c>
      <c r="C179" s="38" t="s">
        <v>339</v>
      </c>
      <c r="D179" s="29"/>
      <c r="E179" s="29"/>
      <c r="F179" s="30">
        <f t="shared" si="2"/>
        <v>0</v>
      </c>
    </row>
    <row r="180" spans="1:6" ht="24" hidden="1" customHeight="1" x14ac:dyDescent="0.3">
      <c r="A180" s="37" t="s">
        <v>340</v>
      </c>
      <c r="B180" s="36" t="s">
        <v>28</v>
      </c>
      <c r="C180" s="38" t="s">
        <v>341</v>
      </c>
      <c r="D180" s="29"/>
      <c r="E180" s="29"/>
      <c r="F180" s="30">
        <f t="shared" si="2"/>
        <v>0</v>
      </c>
    </row>
    <row r="181" spans="1:6" s="44" customFormat="1" ht="14" x14ac:dyDescent="0.3">
      <c r="A181" s="43" t="s">
        <v>342</v>
      </c>
      <c r="B181" s="39" t="s">
        <v>28</v>
      </c>
      <c r="C181" s="32" t="s">
        <v>343</v>
      </c>
      <c r="D181" s="26">
        <f>SUM(D182:D185)</f>
        <v>14450000</v>
      </c>
      <c r="E181" s="26">
        <f>SUM(E182:E185)</f>
        <v>14770090.52</v>
      </c>
      <c r="F181" s="27">
        <f t="shared" si="2"/>
        <v>0</v>
      </c>
    </row>
    <row r="182" spans="1:6" ht="42" x14ac:dyDescent="0.3">
      <c r="A182" s="37" t="s">
        <v>344</v>
      </c>
      <c r="B182" s="36" t="s">
        <v>28</v>
      </c>
      <c r="C182" s="38" t="s">
        <v>345</v>
      </c>
      <c r="D182" s="60">
        <f>13980000+470000</f>
        <v>14450000</v>
      </c>
      <c r="E182" s="60">
        <f>698218.86+469288.08+370973.87+298121.42+146360.78+129570.19+193486.52+1409838.63+1463528.92+2274337.2+4660510.34+2655855.71</f>
        <v>14770090.52</v>
      </c>
      <c r="F182" s="30">
        <f t="shared" si="2"/>
        <v>0</v>
      </c>
    </row>
    <row r="183" spans="1:6" ht="21" hidden="1" x14ac:dyDescent="0.3">
      <c r="A183" s="37" t="s">
        <v>346</v>
      </c>
      <c r="B183" s="36" t="s">
        <v>28</v>
      </c>
      <c r="C183" s="38" t="s">
        <v>347</v>
      </c>
      <c r="D183" s="60"/>
      <c r="E183" s="60"/>
      <c r="F183" s="30">
        <f t="shared" si="2"/>
        <v>0</v>
      </c>
    </row>
    <row r="184" spans="1:6" ht="42" hidden="1" x14ac:dyDescent="0.3">
      <c r="A184" s="37" t="s">
        <v>348</v>
      </c>
      <c r="B184" s="36" t="s">
        <v>28</v>
      </c>
      <c r="C184" s="38" t="s">
        <v>349</v>
      </c>
      <c r="D184" s="29"/>
      <c r="E184" s="29"/>
      <c r="F184" s="30">
        <f t="shared" si="2"/>
        <v>0</v>
      </c>
    </row>
    <row r="185" spans="1:6" ht="26.25" hidden="1" customHeight="1" x14ac:dyDescent="0.3">
      <c r="A185" s="37" t="s">
        <v>350</v>
      </c>
      <c r="B185" s="36" t="s">
        <v>28</v>
      </c>
      <c r="C185" s="38" t="s">
        <v>351</v>
      </c>
      <c r="D185" s="29"/>
      <c r="E185" s="29"/>
      <c r="F185" s="30">
        <f t="shared" si="2"/>
        <v>0</v>
      </c>
    </row>
    <row r="186" spans="1:6" ht="14" x14ac:dyDescent="0.3">
      <c r="A186" s="35" t="s">
        <v>352</v>
      </c>
      <c r="B186" s="36" t="s">
        <v>28</v>
      </c>
      <c r="C186" s="32" t="s">
        <v>353</v>
      </c>
      <c r="D186" s="26">
        <f>+D187+D190</f>
        <v>11800000</v>
      </c>
      <c r="E186" s="26">
        <f>+E187+E190</f>
        <v>11954566.51</v>
      </c>
      <c r="F186" s="27">
        <f t="shared" si="2"/>
        <v>0</v>
      </c>
    </row>
    <row r="187" spans="1:6" s="44" customFormat="1" ht="34" customHeight="1" x14ac:dyDescent="0.3">
      <c r="A187" s="55" t="s">
        <v>354</v>
      </c>
      <c r="B187" s="39" t="s">
        <v>28</v>
      </c>
      <c r="C187" s="32" t="s">
        <v>355</v>
      </c>
      <c r="D187" s="26">
        <f>SUM(D188:D189)</f>
        <v>10300000</v>
      </c>
      <c r="E187" s="26">
        <f>SUM(E188:E189)</f>
        <v>10413898.699999999</v>
      </c>
      <c r="F187" s="27">
        <f t="shared" si="2"/>
        <v>0</v>
      </c>
    </row>
    <row r="188" spans="1:6" ht="53.15" customHeight="1" x14ac:dyDescent="0.3">
      <c r="A188" s="41" t="s">
        <v>356</v>
      </c>
      <c r="B188" s="36" t="s">
        <v>28</v>
      </c>
      <c r="C188" s="38" t="s">
        <v>357</v>
      </c>
      <c r="D188" s="61">
        <f>9800000+500000</f>
        <v>10300000</v>
      </c>
      <c r="E188" s="29">
        <f>2368690.78+134866.42+2488022+298488.95-22938.28+2437174.34+7939.82+85683.26+2452547.6+115859.85+47563.96</f>
        <v>10413898.699999999</v>
      </c>
      <c r="F188" s="30">
        <f t="shared" si="2"/>
        <v>0</v>
      </c>
    </row>
    <row r="189" spans="1:6" ht="52.5" hidden="1" x14ac:dyDescent="0.3">
      <c r="A189" s="41" t="s">
        <v>358</v>
      </c>
      <c r="B189" s="36" t="s">
        <v>28</v>
      </c>
      <c r="C189" s="38" t="s">
        <v>359</v>
      </c>
      <c r="D189" s="61"/>
      <c r="E189" s="29"/>
      <c r="F189" s="30">
        <f t="shared" si="2"/>
        <v>0</v>
      </c>
    </row>
    <row r="190" spans="1:6" s="44" customFormat="1" ht="34" customHeight="1" x14ac:dyDescent="0.3">
      <c r="A190" s="55" t="s">
        <v>360</v>
      </c>
      <c r="B190" s="39" t="s">
        <v>28</v>
      </c>
      <c r="C190" s="32" t="s">
        <v>361</v>
      </c>
      <c r="D190" s="26">
        <f>SUM(D191:D192)</f>
        <v>1500000</v>
      </c>
      <c r="E190" s="26">
        <f>SUM(E191:E192)</f>
        <v>1540667.81</v>
      </c>
      <c r="F190" s="27">
        <f t="shared" si="2"/>
        <v>0</v>
      </c>
    </row>
    <row r="191" spans="1:6" ht="56.5" customHeight="1" x14ac:dyDescent="0.3">
      <c r="A191" s="41" t="s">
        <v>362</v>
      </c>
      <c r="B191" s="36" t="s">
        <v>28</v>
      </c>
      <c r="C191" s="38" t="s">
        <v>363</v>
      </c>
      <c r="D191" s="29">
        <v>1500000</v>
      </c>
      <c r="E191" s="29">
        <f>47797.81+23056.17+12005.59+21733.03+10332.99+10959.66+19894.13+203091.25+170418.81+223726.63+574988.51+222663.23</f>
        <v>1540667.81</v>
      </c>
      <c r="F191" s="30">
        <f t="shared" si="2"/>
        <v>0</v>
      </c>
    </row>
    <row r="192" spans="1:6" ht="52.5" hidden="1" x14ac:dyDescent="0.3">
      <c r="A192" s="41" t="s">
        <v>364</v>
      </c>
      <c r="B192" s="36" t="s">
        <v>28</v>
      </c>
      <c r="C192" s="38" t="s">
        <v>365</v>
      </c>
      <c r="D192" s="29"/>
      <c r="E192" s="29"/>
      <c r="F192" s="30">
        <f t="shared" si="2"/>
        <v>0</v>
      </c>
    </row>
    <row r="193" spans="1:81" ht="34.15" hidden="1" customHeight="1" x14ac:dyDescent="0.3">
      <c r="A193" s="37" t="s">
        <v>366</v>
      </c>
      <c r="B193" s="36" t="s">
        <v>28</v>
      </c>
      <c r="C193" s="32" t="s">
        <v>367</v>
      </c>
      <c r="D193" s="26">
        <f>D194</f>
        <v>0</v>
      </c>
      <c r="E193" s="26">
        <f>E194</f>
        <v>0</v>
      </c>
      <c r="F193" s="30">
        <f t="shared" si="2"/>
        <v>0</v>
      </c>
    </row>
    <row r="194" spans="1:81" ht="25.15" hidden="1" customHeight="1" x14ac:dyDescent="0.3">
      <c r="A194" s="43" t="s">
        <v>368</v>
      </c>
      <c r="B194" s="36" t="s">
        <v>28</v>
      </c>
      <c r="C194" s="32" t="s">
        <v>369</v>
      </c>
      <c r="D194" s="26">
        <f>SUM(D195:D197)</f>
        <v>0</v>
      </c>
      <c r="E194" s="26">
        <f>SUM(E195:E197)</f>
        <v>0</v>
      </c>
      <c r="F194" s="30">
        <f t="shared" si="2"/>
        <v>0</v>
      </c>
    </row>
    <row r="195" spans="1:81" ht="63" hidden="1" customHeight="1" x14ac:dyDescent="0.3">
      <c r="A195" s="37" t="s">
        <v>370</v>
      </c>
      <c r="B195" s="36" t="s">
        <v>28</v>
      </c>
      <c r="C195" s="38" t="s">
        <v>371</v>
      </c>
      <c r="D195" s="29"/>
      <c r="E195" s="29"/>
      <c r="F195" s="30">
        <f t="shared" si="2"/>
        <v>0</v>
      </c>
    </row>
    <row r="196" spans="1:81" ht="46.15" hidden="1" customHeight="1" x14ac:dyDescent="0.3">
      <c r="A196" s="37" t="s">
        <v>372</v>
      </c>
      <c r="B196" s="36" t="s">
        <v>28</v>
      </c>
      <c r="C196" s="38" t="s">
        <v>373</v>
      </c>
      <c r="D196" s="29"/>
      <c r="E196" s="29"/>
      <c r="F196" s="30">
        <f t="shared" si="2"/>
        <v>0</v>
      </c>
    </row>
    <row r="197" spans="1:81" ht="27" hidden="1" customHeight="1" x14ac:dyDescent="0.3">
      <c r="A197" s="37" t="s">
        <v>374</v>
      </c>
      <c r="B197" s="36" t="s">
        <v>28</v>
      </c>
      <c r="C197" s="38" t="s">
        <v>375</v>
      </c>
      <c r="D197" s="29"/>
      <c r="E197" s="29"/>
      <c r="F197" s="30">
        <f t="shared" si="2"/>
        <v>0</v>
      </c>
    </row>
    <row r="198" spans="1:81" ht="21" hidden="1" x14ac:dyDescent="0.3">
      <c r="A198" s="43" t="s">
        <v>55</v>
      </c>
      <c r="B198" s="36" t="s">
        <v>28</v>
      </c>
      <c r="C198" s="32" t="s">
        <v>376</v>
      </c>
      <c r="D198" s="26">
        <f>SUM(D199:D199)</f>
        <v>0</v>
      </c>
      <c r="E198" s="26">
        <f>SUM(E199:E199)</f>
        <v>0</v>
      </c>
      <c r="F198" s="30">
        <f t="shared" si="2"/>
        <v>0</v>
      </c>
    </row>
    <row r="199" spans="1:81" ht="40" hidden="1" customHeight="1" x14ac:dyDescent="0.3">
      <c r="A199" s="37" t="s">
        <v>377</v>
      </c>
      <c r="B199" s="36" t="s">
        <v>28</v>
      </c>
      <c r="C199" s="38" t="s">
        <v>378</v>
      </c>
      <c r="D199" s="29"/>
      <c r="E199" s="29"/>
      <c r="F199" s="30">
        <f t="shared" si="2"/>
        <v>0</v>
      </c>
    </row>
    <row r="200" spans="1:81" ht="42" x14ac:dyDescent="0.3">
      <c r="A200" s="43" t="s">
        <v>379</v>
      </c>
      <c r="B200" s="39" t="s">
        <v>33</v>
      </c>
      <c r="C200" s="32" t="s">
        <v>380</v>
      </c>
      <c r="D200" s="26">
        <f>D201</f>
        <v>15805.89</v>
      </c>
      <c r="E200" s="26">
        <f>E201</f>
        <v>15805.89</v>
      </c>
      <c r="F200" s="27">
        <f t="shared" si="2"/>
        <v>0</v>
      </c>
    </row>
    <row r="201" spans="1:81" ht="14" x14ac:dyDescent="0.3">
      <c r="A201" s="37" t="s">
        <v>35</v>
      </c>
      <c r="B201" s="36" t="s">
        <v>28</v>
      </c>
      <c r="C201" s="38" t="s">
        <v>381</v>
      </c>
      <c r="D201" s="29">
        <f>D202</f>
        <v>15805.89</v>
      </c>
      <c r="E201" s="29">
        <f>E202</f>
        <v>15805.89</v>
      </c>
      <c r="F201" s="30">
        <f t="shared" si="2"/>
        <v>0</v>
      </c>
    </row>
    <row r="202" spans="1:81" ht="20.5" customHeight="1" x14ac:dyDescent="0.3">
      <c r="A202" s="37" t="s">
        <v>55</v>
      </c>
      <c r="B202" s="36" t="s">
        <v>28</v>
      </c>
      <c r="C202" s="38" t="s">
        <v>382</v>
      </c>
      <c r="D202" s="29">
        <f>SUM(D203:D203)</f>
        <v>15805.89</v>
      </c>
      <c r="E202" s="29">
        <f>SUM(E203:E203)</f>
        <v>15805.89</v>
      </c>
      <c r="F202" s="30">
        <f t="shared" si="2"/>
        <v>0</v>
      </c>
    </row>
    <row r="203" spans="1:81" ht="48" customHeight="1" x14ac:dyDescent="0.3">
      <c r="A203" s="41" t="s">
        <v>383</v>
      </c>
      <c r="B203" s="36" t="s">
        <v>28</v>
      </c>
      <c r="C203" s="38" t="s">
        <v>384</v>
      </c>
      <c r="D203" s="29">
        <f>30000-14194.11</f>
        <v>15805.89</v>
      </c>
      <c r="E203" s="29">
        <f>2000+7000+3056.81+1500.27+1498.81+750</f>
        <v>15805.89</v>
      </c>
      <c r="F203" s="30">
        <f t="shared" si="2"/>
        <v>0</v>
      </c>
    </row>
    <row r="204" spans="1:81" x14ac:dyDescent="0.25">
      <c r="A204" s="62"/>
      <c r="B204" s="63"/>
      <c r="C204" s="64"/>
      <c r="D204" s="65"/>
      <c r="E204" s="65"/>
      <c r="F204" s="65"/>
    </row>
    <row r="205" spans="1:81" ht="13" x14ac:dyDescent="0.3">
      <c r="A205" s="62"/>
      <c r="B205" s="197" t="s">
        <v>385</v>
      </c>
      <c r="C205" s="197"/>
      <c r="D205" s="9" t="str">
        <f>A3</f>
        <v xml:space="preserve">                                                на  01  января  20 26 г.</v>
      </c>
      <c r="E205" s="66"/>
      <c r="F205" s="6"/>
    </row>
    <row r="207" spans="1:81" s="67" customFormat="1" x14ac:dyDescent="0.25">
      <c r="A207" s="189" t="s">
        <v>19</v>
      </c>
      <c r="B207" s="190" t="s">
        <v>20</v>
      </c>
      <c r="C207" s="191" t="s">
        <v>386</v>
      </c>
      <c r="D207" s="192" t="s">
        <v>22</v>
      </c>
      <c r="E207" s="191" t="s">
        <v>23</v>
      </c>
      <c r="F207" s="191" t="s">
        <v>24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</row>
    <row r="208" spans="1:81" s="67" customFormat="1" x14ac:dyDescent="0.25">
      <c r="A208" s="189"/>
      <c r="B208" s="190"/>
      <c r="C208" s="191"/>
      <c r="D208" s="193"/>
      <c r="E208" s="191"/>
      <c r="F208" s="191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</row>
    <row r="209" spans="1:81" s="67" customFormat="1" x14ac:dyDescent="0.25">
      <c r="A209" s="189"/>
      <c r="B209" s="190"/>
      <c r="C209" s="191"/>
      <c r="D209" s="194"/>
      <c r="E209" s="191"/>
      <c r="F209" s="191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</row>
    <row r="210" spans="1:81" s="67" customFormat="1" x14ac:dyDescent="0.25">
      <c r="A210" s="68">
        <v>1</v>
      </c>
      <c r="B210" s="38" t="s">
        <v>25</v>
      </c>
      <c r="C210" s="38" t="s">
        <v>26</v>
      </c>
      <c r="D210" s="68">
        <v>4</v>
      </c>
      <c r="E210" s="68">
        <v>5</v>
      </c>
      <c r="F210" s="68">
        <v>6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</row>
    <row r="211" spans="1:81" s="74" customFormat="1" ht="13" x14ac:dyDescent="0.3">
      <c r="A211" s="69" t="s">
        <v>387</v>
      </c>
      <c r="B211" s="70">
        <v>200</v>
      </c>
      <c r="C211" s="71" t="s">
        <v>388</v>
      </c>
      <c r="D211" s="72">
        <f>D213+D357</f>
        <v>756668739.5</v>
      </c>
      <c r="E211" s="72">
        <f>E213+E357</f>
        <v>741127633.06999993</v>
      </c>
      <c r="F211" s="73">
        <f>D211-E211</f>
        <v>15541106.430000067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</row>
    <row r="212" spans="1:81" ht="14" x14ac:dyDescent="0.25">
      <c r="A212" s="75" t="s">
        <v>121</v>
      </c>
      <c r="B212" s="76"/>
      <c r="C212" s="77"/>
      <c r="D212" s="78"/>
      <c r="E212" s="78"/>
      <c r="F212" s="79"/>
    </row>
    <row r="213" spans="1:81" ht="13" x14ac:dyDescent="0.3">
      <c r="A213" s="80" t="s">
        <v>389</v>
      </c>
      <c r="B213" s="81" t="s">
        <v>390</v>
      </c>
      <c r="C213" s="82" t="s">
        <v>391</v>
      </c>
      <c r="D213" s="83">
        <f>D214+D314</f>
        <v>132520587</v>
      </c>
      <c r="E213" s="83">
        <f>E214+E314</f>
        <v>131663963.56</v>
      </c>
      <c r="F213" s="84">
        <f t="shared" ref="F213:F313" si="3">D213-E213</f>
        <v>856623.43999999762</v>
      </c>
    </row>
    <row r="214" spans="1:81" ht="13" x14ac:dyDescent="0.3">
      <c r="A214" s="85" t="s">
        <v>392</v>
      </c>
      <c r="B214" s="81" t="s">
        <v>390</v>
      </c>
      <c r="C214" s="86" t="s">
        <v>393</v>
      </c>
      <c r="D214" s="83">
        <f>D215+D236+D257+D270+D283+D305</f>
        <v>98098575</v>
      </c>
      <c r="E214" s="83">
        <f>E215+E236+E257+E270+E283+E305</f>
        <v>97596091.090000004</v>
      </c>
      <c r="F214" s="84">
        <f t="shared" si="3"/>
        <v>502483.90999999642</v>
      </c>
    </row>
    <row r="215" spans="1:81" ht="28" customHeight="1" x14ac:dyDescent="0.3">
      <c r="A215" s="87" t="s">
        <v>394</v>
      </c>
      <c r="B215" s="81" t="s">
        <v>390</v>
      </c>
      <c r="C215" s="88" t="s">
        <v>395</v>
      </c>
      <c r="D215" s="83">
        <f>D216+D219+D223</f>
        <v>148140</v>
      </c>
      <c r="E215" s="83">
        <f>E216+E219+E223</f>
        <v>148140</v>
      </c>
      <c r="F215" s="84">
        <f t="shared" si="3"/>
        <v>0</v>
      </c>
    </row>
    <row r="216" spans="1:81" ht="57.5" x14ac:dyDescent="0.3">
      <c r="A216" s="89" t="s">
        <v>396</v>
      </c>
      <c r="B216" s="81" t="s">
        <v>390</v>
      </c>
      <c r="C216" s="88" t="s">
        <v>397</v>
      </c>
      <c r="D216" s="83">
        <f>D217</f>
        <v>7000</v>
      </c>
      <c r="E216" s="83">
        <f>E217</f>
        <v>7000</v>
      </c>
      <c r="F216" s="84">
        <f t="shared" si="3"/>
        <v>0</v>
      </c>
    </row>
    <row r="217" spans="1:81" ht="34.5" x14ac:dyDescent="0.25">
      <c r="A217" s="90" t="s">
        <v>398</v>
      </c>
      <c r="B217" s="81"/>
      <c r="C217" s="91" t="s">
        <v>399</v>
      </c>
      <c r="D217" s="92">
        <f>SUM(D218:D218)</f>
        <v>7000</v>
      </c>
      <c r="E217" s="92">
        <f>SUM(E218:E218)</f>
        <v>7000</v>
      </c>
      <c r="F217" s="93">
        <f t="shared" si="3"/>
        <v>0</v>
      </c>
    </row>
    <row r="218" spans="1:81" x14ac:dyDescent="0.25">
      <c r="A218" s="90" t="s">
        <v>400</v>
      </c>
      <c r="B218" s="94" t="s">
        <v>390</v>
      </c>
      <c r="C218" s="91" t="s">
        <v>401</v>
      </c>
      <c r="D218" s="92">
        <v>7000</v>
      </c>
      <c r="E218" s="92">
        <v>7000</v>
      </c>
      <c r="F218" s="93">
        <f t="shared" si="3"/>
        <v>0</v>
      </c>
    </row>
    <row r="219" spans="1:81" ht="84" customHeight="1" x14ac:dyDescent="0.3">
      <c r="A219" s="89" t="s">
        <v>402</v>
      </c>
      <c r="B219" s="81" t="s">
        <v>390</v>
      </c>
      <c r="C219" s="88" t="s">
        <v>403</v>
      </c>
      <c r="D219" s="83">
        <f t="shared" ref="D219:E221" si="4">D220</f>
        <v>71370</v>
      </c>
      <c r="E219" s="83">
        <f t="shared" si="4"/>
        <v>71370</v>
      </c>
      <c r="F219" s="84">
        <f t="shared" si="3"/>
        <v>0</v>
      </c>
    </row>
    <row r="220" spans="1:81" ht="34.5" x14ac:dyDescent="0.25">
      <c r="A220" s="90" t="s">
        <v>404</v>
      </c>
      <c r="B220" s="95" t="s">
        <v>390</v>
      </c>
      <c r="C220" s="91" t="s">
        <v>405</v>
      </c>
      <c r="D220" s="92">
        <f t="shared" si="4"/>
        <v>71370</v>
      </c>
      <c r="E220" s="92">
        <f t="shared" si="4"/>
        <v>71370</v>
      </c>
      <c r="F220" s="93">
        <f t="shared" si="3"/>
        <v>0</v>
      </c>
    </row>
    <row r="221" spans="1:81" x14ac:dyDescent="0.25">
      <c r="A221" s="90" t="s">
        <v>406</v>
      </c>
      <c r="B221" s="95" t="s">
        <v>390</v>
      </c>
      <c r="C221" s="91" t="s">
        <v>407</v>
      </c>
      <c r="D221" s="92">
        <f t="shared" si="4"/>
        <v>71370</v>
      </c>
      <c r="E221" s="92">
        <f t="shared" si="4"/>
        <v>71370</v>
      </c>
      <c r="F221" s="93">
        <f t="shared" si="3"/>
        <v>0</v>
      </c>
    </row>
    <row r="222" spans="1:81" ht="23" x14ac:dyDescent="0.25">
      <c r="A222" s="96" t="s">
        <v>408</v>
      </c>
      <c r="B222" s="94" t="s">
        <v>390</v>
      </c>
      <c r="C222" s="91" t="s">
        <v>409</v>
      </c>
      <c r="D222" s="92">
        <v>71370</v>
      </c>
      <c r="E222" s="92">
        <v>71370</v>
      </c>
      <c r="F222" s="93">
        <f t="shared" si="3"/>
        <v>0</v>
      </c>
    </row>
    <row r="223" spans="1:81" ht="84" customHeight="1" x14ac:dyDescent="0.3">
      <c r="A223" s="89" t="s">
        <v>402</v>
      </c>
      <c r="B223" s="81" t="s">
        <v>390</v>
      </c>
      <c r="C223" s="88" t="s">
        <v>410</v>
      </c>
      <c r="D223" s="83">
        <f t="shared" ref="D223:E225" si="5">D224</f>
        <v>69770</v>
      </c>
      <c r="E223" s="83">
        <f t="shared" si="5"/>
        <v>69770</v>
      </c>
      <c r="F223" s="84">
        <f t="shared" si="3"/>
        <v>0</v>
      </c>
    </row>
    <row r="224" spans="1:81" ht="34.5" x14ac:dyDescent="0.25">
      <c r="A224" s="90" t="s">
        <v>404</v>
      </c>
      <c r="B224" s="95" t="s">
        <v>390</v>
      </c>
      <c r="C224" s="91" t="s">
        <v>411</v>
      </c>
      <c r="D224" s="92">
        <f t="shared" si="5"/>
        <v>69770</v>
      </c>
      <c r="E224" s="92">
        <f t="shared" si="5"/>
        <v>69770</v>
      </c>
      <c r="F224" s="93">
        <f t="shared" si="3"/>
        <v>0</v>
      </c>
    </row>
    <row r="225" spans="1:6" x14ac:dyDescent="0.25">
      <c r="A225" s="90" t="s">
        <v>406</v>
      </c>
      <c r="B225" s="95" t="s">
        <v>390</v>
      </c>
      <c r="C225" s="91" t="s">
        <v>412</v>
      </c>
      <c r="D225" s="92">
        <f t="shared" si="5"/>
        <v>69770</v>
      </c>
      <c r="E225" s="92">
        <f t="shared" si="5"/>
        <v>69770</v>
      </c>
      <c r="F225" s="93">
        <f>D225-E225</f>
        <v>0</v>
      </c>
    </row>
    <row r="226" spans="1:6" ht="23" x14ac:dyDescent="0.25">
      <c r="A226" s="96" t="s">
        <v>408</v>
      </c>
      <c r="B226" s="94" t="s">
        <v>390</v>
      </c>
      <c r="C226" s="91" t="s">
        <v>413</v>
      </c>
      <c r="D226" s="92">
        <f>D231+D235</f>
        <v>69770</v>
      </c>
      <c r="E226" s="92">
        <f>E231+E235</f>
        <v>69770</v>
      </c>
      <c r="F226" s="93">
        <f t="shared" si="3"/>
        <v>0</v>
      </c>
    </row>
    <row r="227" spans="1:6" ht="13" x14ac:dyDescent="0.25">
      <c r="A227" s="87" t="s">
        <v>121</v>
      </c>
      <c r="B227" s="94"/>
      <c r="C227" s="91"/>
      <c r="D227" s="92"/>
      <c r="E227" s="92"/>
      <c r="F227" s="93"/>
    </row>
    <row r="228" spans="1:6" ht="13.5" x14ac:dyDescent="0.3">
      <c r="A228" s="97" t="s">
        <v>414</v>
      </c>
      <c r="B228" s="81" t="s">
        <v>390</v>
      </c>
      <c r="C228" s="88" t="s">
        <v>410</v>
      </c>
      <c r="D228" s="83">
        <f t="shared" ref="D228:E230" si="6">D229</f>
        <v>21630</v>
      </c>
      <c r="E228" s="83">
        <f t="shared" si="6"/>
        <v>21630</v>
      </c>
      <c r="F228" s="84">
        <f t="shared" ref="F228:F235" si="7">D228-E228</f>
        <v>0</v>
      </c>
    </row>
    <row r="229" spans="1:6" ht="34.5" x14ac:dyDescent="0.25">
      <c r="A229" s="90" t="s">
        <v>404</v>
      </c>
      <c r="B229" s="95" t="s">
        <v>390</v>
      </c>
      <c r="C229" s="91" t="s">
        <v>411</v>
      </c>
      <c r="D229" s="92">
        <f t="shared" si="6"/>
        <v>21630</v>
      </c>
      <c r="E229" s="92">
        <f t="shared" si="6"/>
        <v>21630</v>
      </c>
      <c r="F229" s="93">
        <f t="shared" si="7"/>
        <v>0</v>
      </c>
    </row>
    <row r="230" spans="1:6" x14ac:dyDescent="0.25">
      <c r="A230" s="90" t="s">
        <v>406</v>
      </c>
      <c r="B230" s="95" t="s">
        <v>390</v>
      </c>
      <c r="C230" s="91" t="s">
        <v>412</v>
      </c>
      <c r="D230" s="92">
        <f t="shared" si="6"/>
        <v>21630</v>
      </c>
      <c r="E230" s="92">
        <f t="shared" si="6"/>
        <v>21630</v>
      </c>
      <c r="F230" s="93">
        <f t="shared" si="7"/>
        <v>0</v>
      </c>
    </row>
    <row r="231" spans="1:6" ht="23" x14ac:dyDescent="0.25">
      <c r="A231" s="96" t="s">
        <v>408</v>
      </c>
      <c r="B231" s="94" t="s">
        <v>390</v>
      </c>
      <c r="C231" s="91" t="s">
        <v>413</v>
      </c>
      <c r="D231" s="92">
        <v>21630</v>
      </c>
      <c r="E231" s="92">
        <v>21630</v>
      </c>
      <c r="F231" s="93">
        <f t="shared" si="7"/>
        <v>0</v>
      </c>
    </row>
    <row r="232" spans="1:6" ht="13.5" x14ac:dyDescent="0.3">
      <c r="A232" s="97" t="s">
        <v>415</v>
      </c>
      <c r="B232" s="81" t="s">
        <v>390</v>
      </c>
      <c r="C232" s="88" t="s">
        <v>410</v>
      </c>
      <c r="D232" s="83">
        <f t="shared" ref="D232:E234" si="8">D233</f>
        <v>48140</v>
      </c>
      <c r="E232" s="83">
        <f t="shared" si="8"/>
        <v>48140</v>
      </c>
      <c r="F232" s="84">
        <f t="shared" si="7"/>
        <v>0</v>
      </c>
    </row>
    <row r="233" spans="1:6" ht="34.5" x14ac:dyDescent="0.25">
      <c r="A233" s="90" t="s">
        <v>404</v>
      </c>
      <c r="B233" s="95" t="s">
        <v>390</v>
      </c>
      <c r="C233" s="91" t="s">
        <v>411</v>
      </c>
      <c r="D233" s="92">
        <f t="shared" si="8"/>
        <v>48140</v>
      </c>
      <c r="E233" s="92">
        <f t="shared" si="8"/>
        <v>48140</v>
      </c>
      <c r="F233" s="93">
        <f t="shared" si="7"/>
        <v>0</v>
      </c>
    </row>
    <row r="234" spans="1:6" x14ac:dyDescent="0.25">
      <c r="A234" s="90" t="s">
        <v>406</v>
      </c>
      <c r="B234" s="95" t="s">
        <v>390</v>
      </c>
      <c r="C234" s="91" t="s">
        <v>412</v>
      </c>
      <c r="D234" s="92">
        <f t="shared" si="8"/>
        <v>48140</v>
      </c>
      <c r="E234" s="92">
        <f t="shared" si="8"/>
        <v>48140</v>
      </c>
      <c r="F234" s="93">
        <f t="shared" si="7"/>
        <v>0</v>
      </c>
    </row>
    <row r="235" spans="1:6" ht="23" x14ac:dyDescent="0.25">
      <c r="A235" s="96" t="s">
        <v>408</v>
      </c>
      <c r="B235" s="94" t="s">
        <v>390</v>
      </c>
      <c r="C235" s="91" t="s">
        <v>413</v>
      </c>
      <c r="D235" s="92">
        <v>48140</v>
      </c>
      <c r="E235" s="92">
        <v>48140</v>
      </c>
      <c r="F235" s="93">
        <f t="shared" si="7"/>
        <v>0</v>
      </c>
    </row>
    <row r="236" spans="1:6" ht="39" x14ac:dyDescent="0.3">
      <c r="A236" s="87" t="s">
        <v>416</v>
      </c>
      <c r="B236" s="81" t="s">
        <v>390</v>
      </c>
      <c r="C236" s="88" t="s">
        <v>417</v>
      </c>
      <c r="D236" s="83">
        <f>D237+D245+D241+D249+D253</f>
        <v>56550973.659999996</v>
      </c>
      <c r="E236" s="83">
        <f>E237+E245+E241+E249+E253</f>
        <v>56239114.530000001</v>
      </c>
      <c r="F236" s="84">
        <f t="shared" si="3"/>
        <v>311859.12999999523</v>
      </c>
    </row>
    <row r="237" spans="1:6" ht="70" customHeight="1" x14ac:dyDescent="0.3">
      <c r="A237" s="98" t="s">
        <v>418</v>
      </c>
      <c r="B237" s="81" t="s">
        <v>390</v>
      </c>
      <c r="C237" s="88" t="s">
        <v>419</v>
      </c>
      <c r="D237" s="83">
        <f t="shared" ref="D237:E239" si="9">D238</f>
        <v>35418751</v>
      </c>
      <c r="E237" s="83">
        <f t="shared" si="9"/>
        <v>35106891.869999997</v>
      </c>
      <c r="F237" s="84">
        <f t="shared" si="3"/>
        <v>311859.13000000268</v>
      </c>
    </row>
    <row r="238" spans="1:6" ht="34.5" x14ac:dyDescent="0.25">
      <c r="A238" s="90" t="s">
        <v>404</v>
      </c>
      <c r="B238" s="94" t="s">
        <v>390</v>
      </c>
      <c r="C238" s="91" t="s">
        <v>420</v>
      </c>
      <c r="D238" s="92">
        <f t="shared" si="9"/>
        <v>35418751</v>
      </c>
      <c r="E238" s="92">
        <f t="shared" si="9"/>
        <v>35106891.869999997</v>
      </c>
      <c r="F238" s="93">
        <f t="shared" si="3"/>
        <v>311859.13000000268</v>
      </c>
    </row>
    <row r="239" spans="1:6" x14ac:dyDescent="0.25">
      <c r="A239" s="90" t="s">
        <v>406</v>
      </c>
      <c r="B239" s="94" t="s">
        <v>390</v>
      </c>
      <c r="C239" s="91" t="s">
        <v>421</v>
      </c>
      <c r="D239" s="92">
        <f t="shared" si="9"/>
        <v>35418751</v>
      </c>
      <c r="E239" s="92">
        <f t="shared" si="9"/>
        <v>35106891.869999997</v>
      </c>
      <c r="F239" s="93">
        <f t="shared" si="3"/>
        <v>311859.13000000268</v>
      </c>
    </row>
    <row r="240" spans="1:6" ht="57.5" x14ac:dyDescent="0.25">
      <c r="A240" s="90" t="s">
        <v>422</v>
      </c>
      <c r="B240" s="94" t="s">
        <v>390</v>
      </c>
      <c r="C240" s="91" t="s">
        <v>423</v>
      </c>
      <c r="D240" s="92">
        <v>35418751</v>
      </c>
      <c r="E240" s="92">
        <v>35106891.869999997</v>
      </c>
      <c r="F240" s="93">
        <f t="shared" si="3"/>
        <v>311859.13000000268</v>
      </c>
    </row>
    <row r="241" spans="1:6" ht="57.5" x14ac:dyDescent="0.3">
      <c r="A241" s="89" t="s">
        <v>424</v>
      </c>
      <c r="B241" s="81" t="s">
        <v>390</v>
      </c>
      <c r="C241" s="88" t="s">
        <v>425</v>
      </c>
      <c r="D241" s="83">
        <f t="shared" ref="D241:E243" si="10">D242</f>
        <v>15901435</v>
      </c>
      <c r="E241" s="83">
        <f t="shared" si="10"/>
        <v>15901435</v>
      </c>
      <c r="F241" s="84">
        <f t="shared" si="3"/>
        <v>0</v>
      </c>
    </row>
    <row r="242" spans="1:6" ht="34.5" x14ac:dyDescent="0.25">
      <c r="A242" s="90" t="s">
        <v>404</v>
      </c>
      <c r="B242" s="94" t="s">
        <v>390</v>
      </c>
      <c r="C242" s="91" t="s">
        <v>426</v>
      </c>
      <c r="D242" s="92">
        <f t="shared" si="10"/>
        <v>15901435</v>
      </c>
      <c r="E242" s="92">
        <f t="shared" si="10"/>
        <v>15901435</v>
      </c>
      <c r="F242" s="93">
        <f t="shared" si="3"/>
        <v>0</v>
      </c>
    </row>
    <row r="243" spans="1:6" x14ac:dyDescent="0.25">
      <c r="A243" s="90" t="s">
        <v>406</v>
      </c>
      <c r="B243" s="94" t="s">
        <v>390</v>
      </c>
      <c r="C243" s="91" t="s">
        <v>427</v>
      </c>
      <c r="D243" s="92">
        <f t="shared" si="10"/>
        <v>15901435</v>
      </c>
      <c r="E243" s="92">
        <f t="shared" si="10"/>
        <v>15901435</v>
      </c>
      <c r="F243" s="93">
        <f t="shared" si="3"/>
        <v>0</v>
      </c>
    </row>
    <row r="244" spans="1:6" ht="57.5" x14ac:dyDescent="0.25">
      <c r="A244" s="90" t="s">
        <v>422</v>
      </c>
      <c r="B244" s="94" t="s">
        <v>390</v>
      </c>
      <c r="C244" s="91" t="s">
        <v>428</v>
      </c>
      <c r="D244" s="92">
        <v>15901435</v>
      </c>
      <c r="E244" s="92">
        <v>15901435</v>
      </c>
      <c r="F244" s="93">
        <f t="shared" si="3"/>
        <v>0</v>
      </c>
    </row>
    <row r="245" spans="1:6" ht="57.5" x14ac:dyDescent="0.3">
      <c r="A245" s="89" t="s">
        <v>429</v>
      </c>
      <c r="B245" s="94" t="s">
        <v>390</v>
      </c>
      <c r="C245" s="88" t="s">
        <v>430</v>
      </c>
      <c r="D245" s="83">
        <f t="shared" ref="D245:E247" si="11">D246</f>
        <v>2838541</v>
      </c>
      <c r="E245" s="83">
        <f t="shared" si="11"/>
        <v>2838541</v>
      </c>
      <c r="F245" s="84">
        <f t="shared" si="3"/>
        <v>0</v>
      </c>
    </row>
    <row r="246" spans="1:6" ht="34.5" x14ac:dyDescent="0.25">
      <c r="A246" s="90" t="s">
        <v>404</v>
      </c>
      <c r="B246" s="94" t="s">
        <v>390</v>
      </c>
      <c r="C246" s="91" t="s">
        <v>431</v>
      </c>
      <c r="D246" s="92">
        <f t="shared" si="11"/>
        <v>2838541</v>
      </c>
      <c r="E246" s="92">
        <f t="shared" si="11"/>
        <v>2838541</v>
      </c>
      <c r="F246" s="93">
        <f t="shared" si="3"/>
        <v>0</v>
      </c>
    </row>
    <row r="247" spans="1:6" x14ac:dyDescent="0.25">
      <c r="A247" s="90" t="s">
        <v>406</v>
      </c>
      <c r="B247" s="94" t="s">
        <v>390</v>
      </c>
      <c r="C247" s="91" t="s">
        <v>432</v>
      </c>
      <c r="D247" s="92">
        <f t="shared" si="11"/>
        <v>2838541</v>
      </c>
      <c r="E247" s="92">
        <f t="shared" si="11"/>
        <v>2838541</v>
      </c>
      <c r="F247" s="93">
        <f t="shared" si="3"/>
        <v>0</v>
      </c>
    </row>
    <row r="248" spans="1:6" ht="57.5" x14ac:dyDescent="0.25">
      <c r="A248" s="90" t="s">
        <v>422</v>
      </c>
      <c r="B248" s="94" t="s">
        <v>390</v>
      </c>
      <c r="C248" s="91" t="s">
        <v>433</v>
      </c>
      <c r="D248" s="92">
        <v>2838541</v>
      </c>
      <c r="E248" s="92">
        <v>2838541</v>
      </c>
      <c r="F248" s="93">
        <f t="shared" si="3"/>
        <v>0</v>
      </c>
    </row>
    <row r="249" spans="1:6" ht="57.5" x14ac:dyDescent="0.3">
      <c r="A249" s="98" t="s">
        <v>434</v>
      </c>
      <c r="B249" s="81" t="s">
        <v>390</v>
      </c>
      <c r="C249" s="88" t="s">
        <v>435</v>
      </c>
      <c r="D249" s="83">
        <f t="shared" ref="D249:E255" si="12">D250</f>
        <v>2188246.66</v>
      </c>
      <c r="E249" s="83">
        <f t="shared" si="12"/>
        <v>2188246.66</v>
      </c>
      <c r="F249" s="84">
        <f t="shared" si="3"/>
        <v>0</v>
      </c>
    </row>
    <row r="250" spans="1:6" ht="34.5" x14ac:dyDescent="0.25">
      <c r="A250" s="96" t="s">
        <v>404</v>
      </c>
      <c r="B250" s="94" t="s">
        <v>390</v>
      </c>
      <c r="C250" s="91" t="s">
        <v>436</v>
      </c>
      <c r="D250" s="92">
        <f t="shared" si="12"/>
        <v>2188246.66</v>
      </c>
      <c r="E250" s="92">
        <f t="shared" si="12"/>
        <v>2188246.66</v>
      </c>
      <c r="F250" s="93">
        <f t="shared" si="3"/>
        <v>0</v>
      </c>
    </row>
    <row r="251" spans="1:6" x14ac:dyDescent="0.25">
      <c r="A251" s="99" t="s">
        <v>406</v>
      </c>
      <c r="B251" s="94" t="s">
        <v>390</v>
      </c>
      <c r="C251" s="91" t="s">
        <v>437</v>
      </c>
      <c r="D251" s="92">
        <f t="shared" si="12"/>
        <v>2188246.66</v>
      </c>
      <c r="E251" s="92">
        <f t="shared" si="12"/>
        <v>2188246.66</v>
      </c>
      <c r="F251" s="93">
        <f t="shared" si="3"/>
        <v>0</v>
      </c>
    </row>
    <row r="252" spans="1:6" ht="23" x14ac:dyDescent="0.25">
      <c r="A252" s="100" t="s">
        <v>408</v>
      </c>
      <c r="B252" s="94" t="s">
        <v>390</v>
      </c>
      <c r="C252" s="91" t="s">
        <v>438</v>
      </c>
      <c r="D252" s="92">
        <v>2188246.66</v>
      </c>
      <c r="E252" s="92">
        <v>2188246.66</v>
      </c>
      <c r="F252" s="93">
        <f t="shared" si="3"/>
        <v>0</v>
      </c>
    </row>
    <row r="253" spans="1:6" ht="103.5" x14ac:dyDescent="0.3">
      <c r="A253" s="98" t="s">
        <v>439</v>
      </c>
      <c r="B253" s="81" t="s">
        <v>390</v>
      </c>
      <c r="C253" s="88" t="s">
        <v>440</v>
      </c>
      <c r="D253" s="83">
        <f t="shared" si="12"/>
        <v>204000</v>
      </c>
      <c r="E253" s="83">
        <f t="shared" si="12"/>
        <v>204000</v>
      </c>
      <c r="F253" s="84">
        <f>D253-E253</f>
        <v>0</v>
      </c>
    </row>
    <row r="254" spans="1:6" ht="34.5" x14ac:dyDescent="0.25">
      <c r="A254" s="96" t="s">
        <v>404</v>
      </c>
      <c r="B254" s="94" t="s">
        <v>390</v>
      </c>
      <c r="C254" s="91" t="s">
        <v>441</v>
      </c>
      <c r="D254" s="92">
        <f t="shared" si="12"/>
        <v>204000</v>
      </c>
      <c r="E254" s="92">
        <f t="shared" si="12"/>
        <v>204000</v>
      </c>
      <c r="F254" s="93">
        <f>D254-E254</f>
        <v>0</v>
      </c>
    </row>
    <row r="255" spans="1:6" x14ac:dyDescent="0.25">
      <c r="A255" s="99" t="s">
        <v>406</v>
      </c>
      <c r="B255" s="94" t="s">
        <v>390</v>
      </c>
      <c r="C255" s="91" t="s">
        <v>442</v>
      </c>
      <c r="D255" s="92">
        <f t="shared" si="12"/>
        <v>204000</v>
      </c>
      <c r="E255" s="92">
        <f t="shared" si="12"/>
        <v>204000</v>
      </c>
      <c r="F255" s="93">
        <f>D255-E255</f>
        <v>0</v>
      </c>
    </row>
    <row r="256" spans="1:6" ht="23" x14ac:dyDescent="0.25">
      <c r="A256" s="100" t="s">
        <v>408</v>
      </c>
      <c r="B256" s="94" t="s">
        <v>390</v>
      </c>
      <c r="C256" s="91" t="s">
        <v>443</v>
      </c>
      <c r="D256" s="92">
        <v>204000</v>
      </c>
      <c r="E256" s="92">
        <v>204000</v>
      </c>
      <c r="F256" s="93">
        <f>D256-E256</f>
        <v>0</v>
      </c>
    </row>
    <row r="257" spans="1:6" ht="13" x14ac:dyDescent="0.3">
      <c r="A257" s="89" t="s">
        <v>444</v>
      </c>
      <c r="B257" s="81" t="s">
        <v>390</v>
      </c>
      <c r="C257" s="88" t="s">
        <v>445</v>
      </c>
      <c r="D257" s="83">
        <f>D258+D262+D266</f>
        <v>11585376.34</v>
      </c>
      <c r="E257" s="83">
        <f>E258+E262+E266</f>
        <v>11585376.34</v>
      </c>
      <c r="F257" s="84">
        <f t="shared" si="3"/>
        <v>0</v>
      </c>
    </row>
    <row r="258" spans="1:6" ht="60" customHeight="1" x14ac:dyDescent="0.3">
      <c r="A258" s="89" t="s">
        <v>446</v>
      </c>
      <c r="B258" s="81" t="s">
        <v>390</v>
      </c>
      <c r="C258" s="88" t="s">
        <v>447</v>
      </c>
      <c r="D258" s="83">
        <f t="shared" ref="D258:E260" si="13">D259</f>
        <v>7076060</v>
      </c>
      <c r="E258" s="83">
        <f t="shared" si="13"/>
        <v>7076060</v>
      </c>
      <c r="F258" s="84">
        <f t="shared" si="3"/>
        <v>0</v>
      </c>
    </row>
    <row r="259" spans="1:6" ht="34.5" x14ac:dyDescent="0.25">
      <c r="A259" s="101" t="s">
        <v>404</v>
      </c>
      <c r="B259" s="102" t="s">
        <v>390</v>
      </c>
      <c r="C259" s="103" t="s">
        <v>448</v>
      </c>
      <c r="D259" s="92">
        <f t="shared" si="13"/>
        <v>7076060</v>
      </c>
      <c r="E259" s="92">
        <f t="shared" si="13"/>
        <v>7076060</v>
      </c>
      <c r="F259" s="93">
        <f t="shared" si="3"/>
        <v>0</v>
      </c>
    </row>
    <row r="260" spans="1:6" x14ac:dyDescent="0.25">
      <c r="A260" s="101" t="s">
        <v>406</v>
      </c>
      <c r="B260" s="102" t="s">
        <v>390</v>
      </c>
      <c r="C260" s="103" t="s">
        <v>449</v>
      </c>
      <c r="D260" s="92">
        <f t="shared" si="13"/>
        <v>7076060</v>
      </c>
      <c r="E260" s="92">
        <f t="shared" si="13"/>
        <v>7076060</v>
      </c>
      <c r="F260" s="93">
        <f t="shared" si="3"/>
        <v>0</v>
      </c>
    </row>
    <row r="261" spans="1:6" ht="57.5" x14ac:dyDescent="0.25">
      <c r="A261" s="101" t="s">
        <v>422</v>
      </c>
      <c r="B261" s="102" t="s">
        <v>390</v>
      </c>
      <c r="C261" s="103" t="s">
        <v>450</v>
      </c>
      <c r="D261" s="104">
        <v>7076060</v>
      </c>
      <c r="E261" s="104">
        <v>7076060</v>
      </c>
      <c r="F261" s="93">
        <f t="shared" si="3"/>
        <v>0</v>
      </c>
    </row>
    <row r="262" spans="1:6" ht="37.5" customHeight="1" x14ac:dyDescent="0.3">
      <c r="A262" s="89" t="s">
        <v>451</v>
      </c>
      <c r="B262" s="81" t="s">
        <v>390</v>
      </c>
      <c r="C262" s="88" t="s">
        <v>452</v>
      </c>
      <c r="D262" s="83">
        <f t="shared" ref="D262:E264" si="14">D263</f>
        <v>3364357</v>
      </c>
      <c r="E262" s="83">
        <f t="shared" si="14"/>
        <v>3364357</v>
      </c>
      <c r="F262" s="84">
        <f t="shared" si="3"/>
        <v>0</v>
      </c>
    </row>
    <row r="263" spans="1:6" ht="34.5" x14ac:dyDescent="0.25">
      <c r="A263" s="101" t="s">
        <v>404</v>
      </c>
      <c r="B263" s="102" t="s">
        <v>390</v>
      </c>
      <c r="C263" s="105" t="s">
        <v>453</v>
      </c>
      <c r="D263" s="92">
        <f t="shared" si="14"/>
        <v>3364357</v>
      </c>
      <c r="E263" s="92">
        <f t="shared" si="14"/>
        <v>3364357</v>
      </c>
      <c r="F263" s="93">
        <f t="shared" si="3"/>
        <v>0</v>
      </c>
    </row>
    <row r="264" spans="1:6" x14ac:dyDescent="0.25">
      <c r="A264" s="101" t="s">
        <v>406</v>
      </c>
      <c r="B264" s="102" t="s">
        <v>390</v>
      </c>
      <c r="C264" s="103" t="s">
        <v>454</v>
      </c>
      <c r="D264" s="92">
        <f t="shared" si="14"/>
        <v>3364357</v>
      </c>
      <c r="E264" s="92">
        <f t="shared" si="14"/>
        <v>3364357</v>
      </c>
      <c r="F264" s="93">
        <f t="shared" si="3"/>
        <v>0</v>
      </c>
    </row>
    <row r="265" spans="1:6" ht="57.5" x14ac:dyDescent="0.25">
      <c r="A265" s="101" t="s">
        <v>422</v>
      </c>
      <c r="B265" s="102" t="s">
        <v>390</v>
      </c>
      <c r="C265" s="103" t="s">
        <v>455</v>
      </c>
      <c r="D265" s="104">
        <v>3364357</v>
      </c>
      <c r="E265" s="104">
        <v>3364357</v>
      </c>
      <c r="F265" s="93">
        <f t="shared" si="3"/>
        <v>0</v>
      </c>
    </row>
    <row r="266" spans="1:6" ht="34.5" x14ac:dyDescent="0.3">
      <c r="A266" s="89" t="s">
        <v>456</v>
      </c>
      <c r="B266" s="81" t="s">
        <v>390</v>
      </c>
      <c r="C266" s="88" t="s">
        <v>457</v>
      </c>
      <c r="D266" s="83">
        <f t="shared" ref="D266:E268" si="15">D267</f>
        <v>1144959.3400000001</v>
      </c>
      <c r="E266" s="83">
        <f t="shared" si="15"/>
        <v>1144959.3400000001</v>
      </c>
      <c r="F266" s="84">
        <f t="shared" si="3"/>
        <v>0</v>
      </c>
    </row>
    <row r="267" spans="1:6" ht="34.5" x14ac:dyDescent="0.25">
      <c r="A267" s="96" t="s">
        <v>404</v>
      </c>
      <c r="B267" s="94" t="s">
        <v>390</v>
      </c>
      <c r="C267" s="91" t="s">
        <v>458</v>
      </c>
      <c r="D267" s="92">
        <f t="shared" si="15"/>
        <v>1144959.3400000001</v>
      </c>
      <c r="E267" s="92">
        <f t="shared" si="15"/>
        <v>1144959.3400000001</v>
      </c>
      <c r="F267" s="93">
        <f t="shared" si="3"/>
        <v>0</v>
      </c>
    </row>
    <row r="268" spans="1:6" x14ac:dyDescent="0.25">
      <c r="A268" s="96" t="s">
        <v>406</v>
      </c>
      <c r="B268" s="94" t="s">
        <v>390</v>
      </c>
      <c r="C268" s="91" t="s">
        <v>459</v>
      </c>
      <c r="D268" s="92">
        <f t="shared" si="15"/>
        <v>1144959.3400000001</v>
      </c>
      <c r="E268" s="92">
        <f t="shared" si="15"/>
        <v>1144959.3400000001</v>
      </c>
      <c r="F268" s="93">
        <f t="shared" si="3"/>
        <v>0</v>
      </c>
    </row>
    <row r="269" spans="1:6" ht="23" x14ac:dyDescent="0.25">
      <c r="A269" s="96" t="s">
        <v>408</v>
      </c>
      <c r="B269" s="94" t="s">
        <v>390</v>
      </c>
      <c r="C269" s="91" t="s">
        <v>460</v>
      </c>
      <c r="D269" s="92">
        <v>1144959.3400000001</v>
      </c>
      <c r="E269" s="92">
        <v>1144959.3400000001</v>
      </c>
      <c r="F269" s="93">
        <f t="shared" si="3"/>
        <v>0</v>
      </c>
    </row>
    <row r="270" spans="1:6" ht="23" x14ac:dyDescent="0.3">
      <c r="A270" s="89" t="s">
        <v>461</v>
      </c>
      <c r="B270" s="81" t="s">
        <v>390</v>
      </c>
      <c r="C270" s="88" t="s">
        <v>462</v>
      </c>
      <c r="D270" s="83">
        <f>D271+D275+D279</f>
        <v>11514896</v>
      </c>
      <c r="E270" s="83">
        <f>E271+E275+E279</f>
        <v>11423078.109999999</v>
      </c>
      <c r="F270" s="84">
        <f t="shared" si="3"/>
        <v>91817.890000000596</v>
      </c>
    </row>
    <row r="271" spans="1:6" ht="80.5" x14ac:dyDescent="0.3">
      <c r="A271" s="89" t="s">
        <v>463</v>
      </c>
      <c r="B271" s="81" t="s">
        <v>390</v>
      </c>
      <c r="C271" s="88" t="s">
        <v>464</v>
      </c>
      <c r="D271" s="83">
        <f t="shared" ref="D271:E273" si="16">D272</f>
        <v>7124434</v>
      </c>
      <c r="E271" s="83">
        <f t="shared" si="16"/>
        <v>7032616.1100000003</v>
      </c>
      <c r="F271" s="84">
        <f t="shared" si="3"/>
        <v>91817.889999999665</v>
      </c>
    </row>
    <row r="272" spans="1:6" ht="34.5" x14ac:dyDescent="0.25">
      <c r="A272" s="90" t="s">
        <v>404</v>
      </c>
      <c r="B272" s="102" t="s">
        <v>390</v>
      </c>
      <c r="C272" s="103" t="s">
        <v>465</v>
      </c>
      <c r="D272" s="92">
        <f t="shared" si="16"/>
        <v>7124434</v>
      </c>
      <c r="E272" s="92">
        <f t="shared" si="16"/>
        <v>7032616.1100000003</v>
      </c>
      <c r="F272" s="93">
        <f t="shared" si="3"/>
        <v>91817.889999999665</v>
      </c>
    </row>
    <row r="273" spans="1:6" x14ac:dyDescent="0.25">
      <c r="A273" s="101" t="s">
        <v>406</v>
      </c>
      <c r="B273" s="102" t="s">
        <v>390</v>
      </c>
      <c r="C273" s="103" t="s">
        <v>466</v>
      </c>
      <c r="D273" s="92">
        <f t="shared" si="16"/>
        <v>7124434</v>
      </c>
      <c r="E273" s="92">
        <f t="shared" si="16"/>
        <v>7032616.1100000003</v>
      </c>
      <c r="F273" s="93">
        <f t="shared" si="3"/>
        <v>91817.889999999665</v>
      </c>
    </row>
    <row r="274" spans="1:6" ht="57.5" x14ac:dyDescent="0.25">
      <c r="A274" s="101" t="s">
        <v>422</v>
      </c>
      <c r="B274" s="102" t="s">
        <v>390</v>
      </c>
      <c r="C274" s="103" t="s">
        <v>467</v>
      </c>
      <c r="D274" s="104">
        <v>7124434</v>
      </c>
      <c r="E274" s="104">
        <v>7032616.1100000003</v>
      </c>
      <c r="F274" s="93">
        <f t="shared" si="3"/>
        <v>91817.889999999665</v>
      </c>
    </row>
    <row r="275" spans="1:6" ht="46" x14ac:dyDescent="0.3">
      <c r="A275" s="89" t="s">
        <v>468</v>
      </c>
      <c r="B275" s="81" t="s">
        <v>390</v>
      </c>
      <c r="C275" s="88" t="s">
        <v>469</v>
      </c>
      <c r="D275" s="83">
        <f t="shared" ref="D275:E277" si="17">D276</f>
        <v>4090662</v>
      </c>
      <c r="E275" s="83">
        <f t="shared" si="17"/>
        <v>4090662</v>
      </c>
      <c r="F275" s="84">
        <f t="shared" si="3"/>
        <v>0</v>
      </c>
    </row>
    <row r="276" spans="1:6" ht="34.5" x14ac:dyDescent="0.25">
      <c r="A276" s="90" t="s">
        <v>404</v>
      </c>
      <c r="B276" s="102" t="s">
        <v>390</v>
      </c>
      <c r="C276" s="105" t="s">
        <v>470</v>
      </c>
      <c r="D276" s="92">
        <f t="shared" si="17"/>
        <v>4090662</v>
      </c>
      <c r="E276" s="92">
        <f t="shared" si="17"/>
        <v>4090662</v>
      </c>
      <c r="F276" s="93">
        <f t="shared" si="3"/>
        <v>0</v>
      </c>
    </row>
    <row r="277" spans="1:6" x14ac:dyDescent="0.25">
      <c r="A277" s="101" t="s">
        <v>406</v>
      </c>
      <c r="B277" s="102" t="s">
        <v>390</v>
      </c>
      <c r="C277" s="103" t="s">
        <v>471</v>
      </c>
      <c r="D277" s="92">
        <f t="shared" si="17"/>
        <v>4090662</v>
      </c>
      <c r="E277" s="92">
        <f t="shared" si="17"/>
        <v>4090662</v>
      </c>
      <c r="F277" s="93">
        <f t="shared" si="3"/>
        <v>0</v>
      </c>
    </row>
    <row r="278" spans="1:6" ht="57.5" x14ac:dyDescent="0.25">
      <c r="A278" s="101" t="s">
        <v>422</v>
      </c>
      <c r="B278" s="102" t="s">
        <v>390</v>
      </c>
      <c r="C278" s="103" t="s">
        <v>472</v>
      </c>
      <c r="D278" s="104">
        <v>4090662</v>
      </c>
      <c r="E278" s="104">
        <v>4090662</v>
      </c>
      <c r="F278" s="93">
        <f t="shared" si="3"/>
        <v>0</v>
      </c>
    </row>
    <row r="279" spans="1:6" ht="57.5" x14ac:dyDescent="0.3">
      <c r="A279" s="89" t="s">
        <v>473</v>
      </c>
      <c r="B279" s="81" t="s">
        <v>390</v>
      </c>
      <c r="C279" s="88" t="s">
        <v>474</v>
      </c>
      <c r="D279" s="83">
        <f t="shared" ref="D279:E281" si="18">D280</f>
        <v>299800</v>
      </c>
      <c r="E279" s="83">
        <f t="shared" si="18"/>
        <v>299800</v>
      </c>
      <c r="F279" s="84">
        <f t="shared" si="3"/>
        <v>0</v>
      </c>
    </row>
    <row r="280" spans="1:6" ht="34.5" x14ac:dyDescent="0.25">
      <c r="A280" s="96" t="s">
        <v>404</v>
      </c>
      <c r="B280" s="94" t="s">
        <v>390</v>
      </c>
      <c r="C280" s="91" t="s">
        <v>475</v>
      </c>
      <c r="D280" s="92">
        <f t="shared" si="18"/>
        <v>299800</v>
      </c>
      <c r="E280" s="92">
        <f t="shared" si="18"/>
        <v>299800</v>
      </c>
      <c r="F280" s="93">
        <f t="shared" si="3"/>
        <v>0</v>
      </c>
    </row>
    <row r="281" spans="1:6" x14ac:dyDescent="0.25">
      <c r="A281" s="96" t="s">
        <v>406</v>
      </c>
      <c r="B281" s="94" t="s">
        <v>390</v>
      </c>
      <c r="C281" s="91" t="s">
        <v>476</v>
      </c>
      <c r="D281" s="92">
        <f t="shared" si="18"/>
        <v>299800</v>
      </c>
      <c r="E281" s="92">
        <f t="shared" si="18"/>
        <v>299800</v>
      </c>
      <c r="F281" s="93">
        <f t="shared" si="3"/>
        <v>0</v>
      </c>
    </row>
    <row r="282" spans="1:6" ht="23" x14ac:dyDescent="0.25">
      <c r="A282" s="96" t="s">
        <v>408</v>
      </c>
      <c r="B282" s="94" t="s">
        <v>390</v>
      </c>
      <c r="C282" s="91" t="s">
        <v>477</v>
      </c>
      <c r="D282" s="92">
        <v>299800</v>
      </c>
      <c r="E282" s="92">
        <v>299800</v>
      </c>
      <c r="F282" s="93">
        <f t="shared" si="3"/>
        <v>0</v>
      </c>
    </row>
    <row r="283" spans="1:6" ht="13" x14ac:dyDescent="0.3">
      <c r="A283" s="87" t="s">
        <v>478</v>
      </c>
      <c r="B283" s="81" t="s">
        <v>390</v>
      </c>
      <c r="C283" s="88" t="s">
        <v>479</v>
      </c>
      <c r="D283" s="83">
        <f>D284+D300</f>
        <v>10581599</v>
      </c>
      <c r="E283" s="83">
        <f>E284+E300</f>
        <v>10483740.739999998</v>
      </c>
      <c r="F283" s="84">
        <f t="shared" si="3"/>
        <v>97858.260000001639</v>
      </c>
    </row>
    <row r="284" spans="1:6" ht="120.65" customHeight="1" x14ac:dyDescent="0.3">
      <c r="A284" s="89" t="s">
        <v>480</v>
      </c>
      <c r="B284" s="81" t="s">
        <v>390</v>
      </c>
      <c r="C284" s="88" t="s">
        <v>481</v>
      </c>
      <c r="D284" s="83">
        <f>D285+D290+D295</f>
        <v>7812939.9999999991</v>
      </c>
      <c r="E284" s="83">
        <f>E285+E290+E295</f>
        <v>7715081.7399999993</v>
      </c>
      <c r="F284" s="84">
        <f t="shared" si="3"/>
        <v>97858.259999999776</v>
      </c>
    </row>
    <row r="285" spans="1:6" ht="69" x14ac:dyDescent="0.25">
      <c r="A285" s="90" t="s">
        <v>482</v>
      </c>
      <c r="B285" s="94" t="s">
        <v>390</v>
      </c>
      <c r="C285" s="91" t="s">
        <v>483</v>
      </c>
      <c r="D285" s="92">
        <f>D286</f>
        <v>6301808.2999999998</v>
      </c>
      <c r="E285" s="92">
        <f>E286</f>
        <v>6221667.7999999998</v>
      </c>
      <c r="F285" s="93">
        <f t="shared" si="3"/>
        <v>80140.5</v>
      </c>
    </row>
    <row r="286" spans="1:6" ht="23" x14ac:dyDescent="0.25">
      <c r="A286" s="90" t="s">
        <v>484</v>
      </c>
      <c r="B286" s="94" t="s">
        <v>390</v>
      </c>
      <c r="C286" s="91" t="s">
        <v>485</v>
      </c>
      <c r="D286" s="92">
        <f>SUM(D287:D289)</f>
        <v>6301808.2999999998</v>
      </c>
      <c r="E286" s="92">
        <f>SUM(E287:E289)</f>
        <v>6221667.7999999998</v>
      </c>
      <c r="F286" s="93">
        <f t="shared" si="3"/>
        <v>80140.5</v>
      </c>
    </row>
    <row r="287" spans="1:6" x14ac:dyDescent="0.25">
      <c r="A287" s="90" t="s">
        <v>486</v>
      </c>
      <c r="B287" s="94" t="s">
        <v>390</v>
      </c>
      <c r="C287" s="91" t="s">
        <v>487</v>
      </c>
      <c r="D287" s="92">
        <v>4934302</v>
      </c>
      <c r="E287" s="92">
        <v>4878551.05</v>
      </c>
      <c r="F287" s="93">
        <f t="shared" si="3"/>
        <v>55750.950000000186</v>
      </c>
    </row>
    <row r="288" spans="1:6" ht="23" x14ac:dyDescent="0.25">
      <c r="A288" s="90" t="s">
        <v>488</v>
      </c>
      <c r="B288" s="94" t="s">
        <v>390</v>
      </c>
      <c r="C288" s="91" t="s">
        <v>489</v>
      </c>
      <c r="D288" s="92">
        <v>59968.3</v>
      </c>
      <c r="E288" s="92">
        <v>59968.3</v>
      </c>
      <c r="F288" s="93">
        <f t="shared" si="3"/>
        <v>0</v>
      </c>
    </row>
    <row r="289" spans="1:6" ht="50.15" customHeight="1" x14ac:dyDescent="0.25">
      <c r="A289" s="90" t="s">
        <v>490</v>
      </c>
      <c r="B289" s="94" t="s">
        <v>390</v>
      </c>
      <c r="C289" s="91" t="s">
        <v>491</v>
      </c>
      <c r="D289" s="92">
        <v>1307538</v>
      </c>
      <c r="E289" s="92">
        <v>1283148.45</v>
      </c>
      <c r="F289" s="93">
        <f t="shared" si="3"/>
        <v>24389.550000000047</v>
      </c>
    </row>
    <row r="290" spans="1:6" ht="23" x14ac:dyDescent="0.25">
      <c r="A290" s="90" t="s">
        <v>492</v>
      </c>
      <c r="B290" s="94" t="s">
        <v>390</v>
      </c>
      <c r="C290" s="91" t="s">
        <v>493</v>
      </c>
      <c r="D290" s="92">
        <f>D291</f>
        <v>1403994.6400000001</v>
      </c>
      <c r="E290" s="92">
        <f>E291</f>
        <v>1386889.55</v>
      </c>
      <c r="F290" s="93">
        <f t="shared" si="3"/>
        <v>17105.090000000084</v>
      </c>
    </row>
    <row r="291" spans="1:6" ht="34.5" x14ac:dyDescent="0.25">
      <c r="A291" s="90" t="s">
        <v>398</v>
      </c>
      <c r="B291" s="94" t="s">
        <v>390</v>
      </c>
      <c r="C291" s="91" t="s">
        <v>494</v>
      </c>
      <c r="D291" s="92">
        <f>SUM(D292:D294)</f>
        <v>1403994.6400000001</v>
      </c>
      <c r="E291" s="92">
        <f>SUM(E292:E294)</f>
        <v>1386889.55</v>
      </c>
      <c r="F291" s="93">
        <f t="shared" si="3"/>
        <v>17105.090000000084</v>
      </c>
    </row>
    <row r="292" spans="1:6" ht="34.5" x14ac:dyDescent="0.25">
      <c r="A292" s="90" t="s">
        <v>495</v>
      </c>
      <c r="B292" s="94" t="s">
        <v>390</v>
      </c>
      <c r="C292" s="91" t="s">
        <v>496</v>
      </c>
      <c r="D292" s="92">
        <v>120252.5</v>
      </c>
      <c r="E292" s="92">
        <v>120252.5</v>
      </c>
      <c r="F292" s="93">
        <f t="shared" si="3"/>
        <v>0</v>
      </c>
    </row>
    <row r="293" spans="1:6" x14ac:dyDescent="0.25">
      <c r="A293" s="90" t="s">
        <v>400</v>
      </c>
      <c r="B293" s="94" t="s">
        <v>390</v>
      </c>
      <c r="C293" s="91" t="s">
        <v>497</v>
      </c>
      <c r="D293" s="92">
        <v>715340.14</v>
      </c>
      <c r="E293" s="92">
        <v>702159.75</v>
      </c>
      <c r="F293" s="93">
        <f>D293-E293</f>
        <v>13180.390000000014</v>
      </c>
    </row>
    <row r="294" spans="1:6" x14ac:dyDescent="0.25">
      <c r="A294" s="90" t="s">
        <v>498</v>
      </c>
      <c r="B294" s="94" t="s">
        <v>390</v>
      </c>
      <c r="C294" s="91" t="s">
        <v>499</v>
      </c>
      <c r="D294" s="92">
        <v>568402</v>
      </c>
      <c r="E294" s="92">
        <v>564477.30000000005</v>
      </c>
      <c r="F294" s="93">
        <f t="shared" si="3"/>
        <v>3924.6999999999534</v>
      </c>
    </row>
    <row r="295" spans="1:6" x14ac:dyDescent="0.25">
      <c r="A295" s="90" t="s">
        <v>500</v>
      </c>
      <c r="B295" s="94" t="s">
        <v>390</v>
      </c>
      <c r="C295" s="91" t="s">
        <v>501</v>
      </c>
      <c r="D295" s="92">
        <f>D296</f>
        <v>107137.06</v>
      </c>
      <c r="E295" s="92">
        <f>E296</f>
        <v>106524.39</v>
      </c>
      <c r="F295" s="93">
        <f t="shared" si="3"/>
        <v>612.66999999999825</v>
      </c>
    </row>
    <row r="296" spans="1:6" x14ac:dyDescent="0.25">
      <c r="A296" s="90" t="s">
        <v>502</v>
      </c>
      <c r="B296" s="81" t="s">
        <v>390</v>
      </c>
      <c r="C296" s="91" t="s">
        <v>503</v>
      </c>
      <c r="D296" s="92">
        <f>SUM(D297:D299)</f>
        <v>107137.06</v>
      </c>
      <c r="E296" s="92">
        <f>SUM(E297:E299)</f>
        <v>106524.39</v>
      </c>
      <c r="F296" s="93">
        <f t="shared" si="3"/>
        <v>612.66999999999825</v>
      </c>
    </row>
    <row r="297" spans="1:6" ht="23" x14ac:dyDescent="0.25">
      <c r="A297" s="90" t="s">
        <v>504</v>
      </c>
      <c r="B297" s="94" t="s">
        <v>390</v>
      </c>
      <c r="C297" s="91" t="s">
        <v>505</v>
      </c>
      <c r="D297" s="92">
        <v>106955.67</v>
      </c>
      <c r="E297" s="92">
        <v>106343</v>
      </c>
      <c r="F297" s="93">
        <f>D297-E297</f>
        <v>612.66999999999825</v>
      </c>
    </row>
    <row r="298" spans="1:6" hidden="1" x14ac:dyDescent="0.25">
      <c r="A298" s="90" t="s">
        <v>506</v>
      </c>
      <c r="B298" s="94" t="s">
        <v>390</v>
      </c>
      <c r="C298" s="91" t="s">
        <v>507</v>
      </c>
      <c r="D298" s="92"/>
      <c r="E298" s="92"/>
      <c r="F298" s="93">
        <f t="shared" si="3"/>
        <v>0</v>
      </c>
    </row>
    <row r="299" spans="1:6" x14ac:dyDescent="0.25">
      <c r="A299" s="90" t="s">
        <v>508</v>
      </c>
      <c r="B299" s="94" t="s">
        <v>390</v>
      </c>
      <c r="C299" s="91" t="s">
        <v>509</v>
      </c>
      <c r="D299" s="92">
        <v>181.39</v>
      </c>
      <c r="E299" s="92">
        <v>181.39</v>
      </c>
      <c r="F299" s="93">
        <f t="shared" si="3"/>
        <v>0</v>
      </c>
    </row>
    <row r="300" spans="1:6" ht="46" x14ac:dyDescent="0.3">
      <c r="A300" s="89" t="s">
        <v>510</v>
      </c>
      <c r="B300" s="81" t="s">
        <v>390</v>
      </c>
      <c r="C300" s="88" t="s">
        <v>511</v>
      </c>
      <c r="D300" s="83">
        <f>D301</f>
        <v>2768659</v>
      </c>
      <c r="E300" s="83">
        <f>E301</f>
        <v>2768659</v>
      </c>
      <c r="F300" s="84">
        <f t="shared" si="3"/>
        <v>0</v>
      </c>
    </row>
    <row r="301" spans="1:6" ht="69" x14ac:dyDescent="0.25">
      <c r="A301" s="90" t="s">
        <v>482</v>
      </c>
      <c r="B301" s="94" t="s">
        <v>390</v>
      </c>
      <c r="C301" s="91" t="s">
        <v>512</v>
      </c>
      <c r="D301" s="92">
        <f>D302</f>
        <v>2768659</v>
      </c>
      <c r="E301" s="92">
        <f>E302</f>
        <v>2768659</v>
      </c>
      <c r="F301" s="93">
        <f t="shared" si="3"/>
        <v>0</v>
      </c>
    </row>
    <row r="302" spans="1:6" ht="23" x14ac:dyDescent="0.25">
      <c r="A302" s="90" t="s">
        <v>484</v>
      </c>
      <c r="B302" s="94" t="s">
        <v>390</v>
      </c>
      <c r="C302" s="91" t="s">
        <v>513</v>
      </c>
      <c r="D302" s="92">
        <f>SUM(D303:D304)</f>
        <v>2768659</v>
      </c>
      <c r="E302" s="92">
        <f>SUM(E303:E304)</f>
        <v>2768659</v>
      </c>
      <c r="F302" s="93">
        <f t="shared" si="3"/>
        <v>0</v>
      </c>
    </row>
    <row r="303" spans="1:6" x14ac:dyDescent="0.25">
      <c r="A303" s="90" t="s">
        <v>486</v>
      </c>
      <c r="B303" s="94" t="s">
        <v>390</v>
      </c>
      <c r="C303" s="91" t="s">
        <v>514</v>
      </c>
      <c r="D303" s="92">
        <v>1986204</v>
      </c>
      <c r="E303" s="92">
        <v>1986204</v>
      </c>
      <c r="F303" s="93">
        <f t="shared" si="3"/>
        <v>0</v>
      </c>
    </row>
    <row r="304" spans="1:6" ht="47.5" customHeight="1" x14ac:dyDescent="0.25">
      <c r="A304" s="90" t="s">
        <v>490</v>
      </c>
      <c r="B304" s="94" t="s">
        <v>390</v>
      </c>
      <c r="C304" s="91" t="s">
        <v>515</v>
      </c>
      <c r="D304" s="92">
        <v>782455</v>
      </c>
      <c r="E304" s="92">
        <v>782455</v>
      </c>
      <c r="F304" s="93">
        <f t="shared" si="3"/>
        <v>0</v>
      </c>
    </row>
    <row r="305" spans="1:6" ht="52" x14ac:dyDescent="0.3">
      <c r="A305" s="87" t="s">
        <v>516</v>
      </c>
      <c r="B305" s="81" t="s">
        <v>390</v>
      </c>
      <c r="C305" s="88" t="s">
        <v>517</v>
      </c>
      <c r="D305" s="83">
        <f>D306+D310</f>
        <v>7717590</v>
      </c>
      <c r="E305" s="83">
        <f>E306+E310</f>
        <v>7716641.3700000001</v>
      </c>
      <c r="F305" s="84">
        <f t="shared" si="3"/>
        <v>948.62999999988824</v>
      </c>
    </row>
    <row r="306" spans="1:6" ht="95.15" customHeight="1" x14ac:dyDescent="0.3">
      <c r="A306" s="89" t="s">
        <v>518</v>
      </c>
      <c r="B306" s="81" t="s">
        <v>390</v>
      </c>
      <c r="C306" s="88" t="s">
        <v>519</v>
      </c>
      <c r="D306" s="83">
        <f t="shared" ref="D306:E308" si="19">D307</f>
        <v>4798603</v>
      </c>
      <c r="E306" s="83">
        <f t="shared" si="19"/>
        <v>4797654.37</v>
      </c>
      <c r="F306" s="84">
        <f t="shared" si="3"/>
        <v>948.62999999988824</v>
      </c>
    </row>
    <row r="307" spans="1:6" ht="34.5" x14ac:dyDescent="0.25">
      <c r="A307" s="90" t="s">
        <v>404</v>
      </c>
      <c r="B307" s="94" t="s">
        <v>390</v>
      </c>
      <c r="C307" s="91" t="s">
        <v>520</v>
      </c>
      <c r="D307" s="92">
        <f t="shared" si="19"/>
        <v>4798603</v>
      </c>
      <c r="E307" s="92">
        <f t="shared" si="19"/>
        <v>4797654.37</v>
      </c>
      <c r="F307" s="93">
        <f t="shared" si="3"/>
        <v>948.62999999988824</v>
      </c>
    </row>
    <row r="308" spans="1:6" x14ac:dyDescent="0.25">
      <c r="A308" s="90" t="s">
        <v>406</v>
      </c>
      <c r="B308" s="81" t="s">
        <v>390</v>
      </c>
      <c r="C308" s="91" t="s">
        <v>521</v>
      </c>
      <c r="D308" s="92">
        <f t="shared" si="19"/>
        <v>4798603</v>
      </c>
      <c r="E308" s="92">
        <f t="shared" si="19"/>
        <v>4797654.37</v>
      </c>
      <c r="F308" s="93">
        <f t="shared" si="3"/>
        <v>948.62999999988824</v>
      </c>
    </row>
    <row r="309" spans="1:6" ht="57.5" x14ac:dyDescent="0.25">
      <c r="A309" s="101" t="s">
        <v>422</v>
      </c>
      <c r="B309" s="95" t="s">
        <v>390</v>
      </c>
      <c r="C309" s="91" t="s">
        <v>522</v>
      </c>
      <c r="D309" s="92">
        <v>4798603</v>
      </c>
      <c r="E309" s="92">
        <v>4797654.37</v>
      </c>
      <c r="F309" s="93">
        <f t="shared" si="3"/>
        <v>948.62999999988824</v>
      </c>
    </row>
    <row r="310" spans="1:6" ht="69" x14ac:dyDescent="0.3">
      <c r="A310" s="89" t="s">
        <v>523</v>
      </c>
      <c r="B310" s="81" t="s">
        <v>390</v>
      </c>
      <c r="C310" s="88" t="s">
        <v>524</v>
      </c>
      <c r="D310" s="83">
        <f t="shared" ref="D310:E312" si="20">D311</f>
        <v>2918987</v>
      </c>
      <c r="E310" s="83">
        <f t="shared" si="20"/>
        <v>2918987</v>
      </c>
      <c r="F310" s="84">
        <f t="shared" si="3"/>
        <v>0</v>
      </c>
    </row>
    <row r="311" spans="1:6" ht="34.5" x14ac:dyDescent="0.25">
      <c r="A311" s="90" t="s">
        <v>404</v>
      </c>
      <c r="B311" s="94" t="s">
        <v>390</v>
      </c>
      <c r="C311" s="91" t="s">
        <v>525</v>
      </c>
      <c r="D311" s="92">
        <f t="shared" si="20"/>
        <v>2918987</v>
      </c>
      <c r="E311" s="92">
        <f t="shared" si="20"/>
        <v>2918987</v>
      </c>
      <c r="F311" s="93">
        <f t="shared" si="3"/>
        <v>0</v>
      </c>
    </row>
    <row r="312" spans="1:6" x14ac:dyDescent="0.25">
      <c r="A312" s="90" t="s">
        <v>406</v>
      </c>
      <c r="B312" s="94" t="s">
        <v>390</v>
      </c>
      <c r="C312" s="91" t="s">
        <v>526</v>
      </c>
      <c r="D312" s="92">
        <f t="shared" si="20"/>
        <v>2918987</v>
      </c>
      <c r="E312" s="92">
        <f t="shared" si="20"/>
        <v>2918987</v>
      </c>
      <c r="F312" s="93">
        <f t="shared" si="3"/>
        <v>0</v>
      </c>
    </row>
    <row r="313" spans="1:6" ht="57.5" x14ac:dyDescent="0.25">
      <c r="A313" s="90" t="s">
        <v>422</v>
      </c>
      <c r="B313" s="94" t="s">
        <v>390</v>
      </c>
      <c r="C313" s="91" t="s">
        <v>527</v>
      </c>
      <c r="D313" s="92">
        <v>2918987</v>
      </c>
      <c r="E313" s="92">
        <v>2918987</v>
      </c>
      <c r="F313" s="93">
        <f t="shared" si="3"/>
        <v>0</v>
      </c>
    </row>
    <row r="314" spans="1:6" ht="23" x14ac:dyDescent="0.3">
      <c r="A314" s="89" t="s">
        <v>528</v>
      </c>
      <c r="B314" s="81" t="s">
        <v>390</v>
      </c>
      <c r="C314" s="86" t="s">
        <v>529</v>
      </c>
      <c r="D314" s="83">
        <f>D315+D334</f>
        <v>34422012</v>
      </c>
      <c r="E314" s="83">
        <f>E315+E334</f>
        <v>34067872.469999999</v>
      </c>
      <c r="F314" s="84">
        <f t="shared" ref="F314:F383" si="21">D314-E314</f>
        <v>354139.53000000119</v>
      </c>
    </row>
    <row r="315" spans="1:6" ht="46" x14ac:dyDescent="0.3">
      <c r="A315" s="89" t="s">
        <v>530</v>
      </c>
      <c r="B315" s="81" t="s">
        <v>390</v>
      </c>
      <c r="C315" s="88" t="s">
        <v>531</v>
      </c>
      <c r="D315" s="83">
        <f>D316</f>
        <v>10938200</v>
      </c>
      <c r="E315" s="83">
        <f>E316</f>
        <v>10792595.670000002</v>
      </c>
      <c r="F315" s="84">
        <f>D315-E315</f>
        <v>145604.32999999821</v>
      </c>
    </row>
    <row r="316" spans="1:6" ht="46" x14ac:dyDescent="0.3">
      <c r="A316" s="89" t="s">
        <v>532</v>
      </c>
      <c r="B316" s="81" t="s">
        <v>390</v>
      </c>
      <c r="C316" s="88" t="s">
        <v>533</v>
      </c>
      <c r="D316" s="83">
        <f>D317+D322+D327+D330</f>
        <v>10938200</v>
      </c>
      <c r="E316" s="83">
        <f>E317+E322+E327+E330</f>
        <v>10792595.670000002</v>
      </c>
      <c r="F316" s="84">
        <f t="shared" si="21"/>
        <v>145604.32999999821</v>
      </c>
    </row>
    <row r="317" spans="1:6" ht="69" x14ac:dyDescent="0.25">
      <c r="A317" s="90" t="s">
        <v>482</v>
      </c>
      <c r="B317" s="94" t="s">
        <v>390</v>
      </c>
      <c r="C317" s="91" t="s">
        <v>534</v>
      </c>
      <c r="D317" s="92">
        <f>D318</f>
        <v>10125617.199999999</v>
      </c>
      <c r="E317" s="92">
        <f>E318</f>
        <v>10023538.48</v>
      </c>
      <c r="F317" s="93">
        <f t="shared" si="21"/>
        <v>102078.71999999881</v>
      </c>
    </row>
    <row r="318" spans="1:6" ht="23" x14ac:dyDescent="0.25">
      <c r="A318" s="90" t="s">
        <v>535</v>
      </c>
      <c r="B318" s="94" t="s">
        <v>390</v>
      </c>
      <c r="C318" s="91" t="s">
        <v>536</v>
      </c>
      <c r="D318" s="92">
        <f>SUM(D319:D321)</f>
        <v>10125617.199999999</v>
      </c>
      <c r="E318" s="92">
        <f>SUM(E319:E321)</f>
        <v>10023538.48</v>
      </c>
      <c r="F318" s="93">
        <f t="shared" si="21"/>
        <v>102078.71999999881</v>
      </c>
    </row>
    <row r="319" spans="1:6" ht="23" x14ac:dyDescent="0.25">
      <c r="A319" s="90" t="s">
        <v>537</v>
      </c>
      <c r="B319" s="94" t="s">
        <v>390</v>
      </c>
      <c r="C319" s="91" t="s">
        <v>538</v>
      </c>
      <c r="D319" s="92">
        <v>7846497.8099999996</v>
      </c>
      <c r="E319" s="92">
        <v>7832211.3300000001</v>
      </c>
      <c r="F319" s="93">
        <f t="shared" si="21"/>
        <v>14286.479999999516</v>
      </c>
    </row>
    <row r="320" spans="1:6" ht="34.5" x14ac:dyDescent="0.25">
      <c r="A320" s="90" t="s">
        <v>539</v>
      </c>
      <c r="B320" s="94" t="s">
        <v>390</v>
      </c>
      <c r="C320" s="91" t="s">
        <v>540</v>
      </c>
      <c r="D320" s="92">
        <v>21678.39</v>
      </c>
      <c r="E320" s="92">
        <v>18063.39</v>
      </c>
      <c r="F320" s="93">
        <f t="shared" si="21"/>
        <v>3615</v>
      </c>
    </row>
    <row r="321" spans="1:6" ht="46.5" customHeight="1" x14ac:dyDescent="0.25">
      <c r="A321" s="90" t="s">
        <v>541</v>
      </c>
      <c r="B321" s="94" t="s">
        <v>390</v>
      </c>
      <c r="C321" s="91" t="s">
        <v>542</v>
      </c>
      <c r="D321" s="92">
        <v>2257441</v>
      </c>
      <c r="E321" s="92">
        <v>2173263.7599999998</v>
      </c>
      <c r="F321" s="93">
        <f t="shared" si="21"/>
        <v>84177.240000000224</v>
      </c>
    </row>
    <row r="322" spans="1:6" ht="23" x14ac:dyDescent="0.25">
      <c r="A322" s="90" t="s">
        <v>492</v>
      </c>
      <c r="B322" s="94" t="s">
        <v>390</v>
      </c>
      <c r="C322" s="91" t="s">
        <v>543</v>
      </c>
      <c r="D322" s="92">
        <f>D323</f>
        <v>767890</v>
      </c>
      <c r="E322" s="92">
        <f>E323</f>
        <v>726272.99</v>
      </c>
      <c r="F322" s="93">
        <f t="shared" si="21"/>
        <v>41617.010000000009</v>
      </c>
    </row>
    <row r="323" spans="1:6" ht="34.5" x14ac:dyDescent="0.25">
      <c r="A323" s="90" t="s">
        <v>398</v>
      </c>
      <c r="B323" s="94" t="s">
        <v>390</v>
      </c>
      <c r="C323" s="91" t="s">
        <v>544</v>
      </c>
      <c r="D323" s="92">
        <f>SUM(D324:D326)</f>
        <v>767890</v>
      </c>
      <c r="E323" s="92">
        <f>SUM(E324:E326)</f>
        <v>726272.99</v>
      </c>
      <c r="F323" s="93">
        <f t="shared" si="21"/>
        <v>41617.010000000009</v>
      </c>
    </row>
    <row r="324" spans="1:6" ht="34.5" x14ac:dyDescent="0.25">
      <c r="A324" s="90" t="s">
        <v>495</v>
      </c>
      <c r="B324" s="94" t="s">
        <v>390</v>
      </c>
      <c r="C324" s="91" t="s">
        <v>545</v>
      </c>
      <c r="D324" s="92">
        <v>30000</v>
      </c>
      <c r="E324" s="92">
        <v>27719.5</v>
      </c>
      <c r="F324" s="93">
        <f t="shared" si="21"/>
        <v>2280.5</v>
      </c>
    </row>
    <row r="325" spans="1:6" x14ac:dyDescent="0.25">
      <c r="A325" s="90" t="s">
        <v>400</v>
      </c>
      <c r="B325" s="94" t="s">
        <v>390</v>
      </c>
      <c r="C325" s="91" t="s">
        <v>546</v>
      </c>
      <c r="D325" s="92">
        <v>416030.68</v>
      </c>
      <c r="E325" s="92">
        <v>395657.19</v>
      </c>
      <c r="F325" s="93">
        <f>D325-E325</f>
        <v>20373.489999999991</v>
      </c>
    </row>
    <row r="326" spans="1:6" x14ac:dyDescent="0.25">
      <c r="A326" s="90" t="s">
        <v>498</v>
      </c>
      <c r="B326" s="94" t="s">
        <v>390</v>
      </c>
      <c r="C326" s="91" t="s">
        <v>547</v>
      </c>
      <c r="D326" s="92">
        <v>321859.32</v>
      </c>
      <c r="E326" s="92">
        <v>302896.3</v>
      </c>
      <c r="F326" s="93">
        <f t="shared" si="21"/>
        <v>18963.020000000019</v>
      </c>
    </row>
    <row r="327" spans="1:6" ht="22" customHeight="1" x14ac:dyDescent="0.25">
      <c r="A327" s="90" t="s">
        <v>548</v>
      </c>
      <c r="B327" s="94" t="s">
        <v>390</v>
      </c>
      <c r="C327" s="91" t="s">
        <v>549</v>
      </c>
      <c r="D327" s="92">
        <f>D328</f>
        <v>2692.8</v>
      </c>
      <c r="E327" s="92">
        <f>E328</f>
        <v>2692.8</v>
      </c>
      <c r="F327" s="93">
        <f>D327-E327</f>
        <v>0</v>
      </c>
    </row>
    <row r="328" spans="1:6" ht="25" customHeight="1" x14ac:dyDescent="0.25">
      <c r="A328" s="90" t="s">
        <v>550</v>
      </c>
      <c r="B328" s="94" t="s">
        <v>390</v>
      </c>
      <c r="C328" s="91" t="s">
        <v>551</v>
      </c>
      <c r="D328" s="92">
        <f>D329</f>
        <v>2692.8</v>
      </c>
      <c r="E328" s="92">
        <f>E329</f>
        <v>2692.8</v>
      </c>
      <c r="F328" s="93">
        <f>D328-E328</f>
        <v>0</v>
      </c>
    </row>
    <row r="329" spans="1:6" ht="37" customHeight="1" x14ac:dyDescent="0.25">
      <c r="A329" s="90" t="s">
        <v>552</v>
      </c>
      <c r="B329" s="94" t="s">
        <v>390</v>
      </c>
      <c r="C329" s="91" t="s">
        <v>553</v>
      </c>
      <c r="D329" s="92">
        <v>2692.8</v>
      </c>
      <c r="E329" s="92">
        <v>2692.8</v>
      </c>
      <c r="F329" s="93">
        <f>D329-E329</f>
        <v>0</v>
      </c>
    </row>
    <row r="330" spans="1:6" x14ac:dyDescent="0.25">
      <c r="A330" s="90" t="s">
        <v>500</v>
      </c>
      <c r="B330" s="94" t="s">
        <v>390</v>
      </c>
      <c r="C330" s="91" t="s">
        <v>554</v>
      </c>
      <c r="D330" s="92">
        <f>D331</f>
        <v>42000</v>
      </c>
      <c r="E330" s="92">
        <f>E331</f>
        <v>40091.4</v>
      </c>
      <c r="F330" s="93">
        <f t="shared" si="21"/>
        <v>1908.5999999999985</v>
      </c>
    </row>
    <row r="331" spans="1:6" x14ac:dyDescent="0.25">
      <c r="A331" s="90" t="s">
        <v>502</v>
      </c>
      <c r="B331" s="94" t="s">
        <v>390</v>
      </c>
      <c r="C331" s="91" t="s">
        <v>555</v>
      </c>
      <c r="D331" s="92">
        <f>SUM(D332:D333)</f>
        <v>42000</v>
      </c>
      <c r="E331" s="92">
        <f>SUM(E332:E333)</f>
        <v>40091.4</v>
      </c>
      <c r="F331" s="93">
        <f t="shared" si="21"/>
        <v>1908.5999999999985</v>
      </c>
    </row>
    <row r="332" spans="1:6" ht="23" x14ac:dyDescent="0.25">
      <c r="A332" s="90" t="s">
        <v>504</v>
      </c>
      <c r="B332" s="94" t="s">
        <v>390</v>
      </c>
      <c r="C332" s="91" t="s">
        <v>556</v>
      </c>
      <c r="D332" s="92">
        <v>17000</v>
      </c>
      <c r="E332" s="92">
        <v>16737</v>
      </c>
      <c r="F332" s="93">
        <f>D332-E332</f>
        <v>263</v>
      </c>
    </row>
    <row r="333" spans="1:6" x14ac:dyDescent="0.25">
      <c r="A333" s="90" t="s">
        <v>508</v>
      </c>
      <c r="B333" s="94" t="s">
        <v>390</v>
      </c>
      <c r="C333" s="91" t="s">
        <v>557</v>
      </c>
      <c r="D333" s="92">
        <v>25000</v>
      </c>
      <c r="E333" s="92">
        <v>23354.400000000001</v>
      </c>
      <c r="F333" s="93">
        <f t="shared" si="21"/>
        <v>1645.5999999999985</v>
      </c>
    </row>
    <row r="334" spans="1:6" ht="23" x14ac:dyDescent="0.3">
      <c r="A334" s="89" t="s">
        <v>558</v>
      </c>
      <c r="B334" s="81" t="s">
        <v>390</v>
      </c>
      <c r="C334" s="88" t="s">
        <v>559</v>
      </c>
      <c r="D334" s="83">
        <f>D335+D348</f>
        <v>23483812</v>
      </c>
      <c r="E334" s="83">
        <f>E335+E348</f>
        <v>23275276.799999997</v>
      </c>
      <c r="F334" s="84">
        <f t="shared" si="21"/>
        <v>208535.20000000298</v>
      </c>
    </row>
    <row r="335" spans="1:6" ht="34.5" x14ac:dyDescent="0.3">
      <c r="A335" s="89" t="s">
        <v>560</v>
      </c>
      <c r="B335" s="81" t="s">
        <v>390</v>
      </c>
      <c r="C335" s="88" t="s">
        <v>561</v>
      </c>
      <c r="D335" s="83">
        <f>D336+D341+D345</f>
        <v>8795324</v>
      </c>
      <c r="E335" s="83">
        <f>E336+E341+E345</f>
        <v>8620084.9399999995</v>
      </c>
      <c r="F335" s="84">
        <f>D335-E335</f>
        <v>175239.06000000052</v>
      </c>
    </row>
    <row r="336" spans="1:6" ht="69" x14ac:dyDescent="0.25">
      <c r="A336" s="90" t="s">
        <v>482</v>
      </c>
      <c r="B336" s="94" t="s">
        <v>390</v>
      </c>
      <c r="C336" s="91" t="s">
        <v>562</v>
      </c>
      <c r="D336" s="92">
        <f>D337</f>
        <v>8024814</v>
      </c>
      <c r="E336" s="92">
        <f>E337</f>
        <v>7855589.9399999995</v>
      </c>
      <c r="F336" s="93">
        <f t="shared" si="21"/>
        <v>169224.06000000052</v>
      </c>
    </row>
    <row r="337" spans="1:6" ht="23" x14ac:dyDescent="0.25">
      <c r="A337" s="90" t="s">
        <v>484</v>
      </c>
      <c r="B337" s="94" t="s">
        <v>390</v>
      </c>
      <c r="C337" s="91" t="s">
        <v>563</v>
      </c>
      <c r="D337" s="92">
        <f>SUM(D338:D340)</f>
        <v>8024814</v>
      </c>
      <c r="E337" s="92">
        <f>SUM(E338:E340)</f>
        <v>7855589.9399999995</v>
      </c>
      <c r="F337" s="93">
        <f t="shared" si="21"/>
        <v>169224.06000000052</v>
      </c>
    </row>
    <row r="338" spans="1:6" x14ac:dyDescent="0.25">
      <c r="A338" s="90" t="s">
        <v>486</v>
      </c>
      <c r="B338" s="94" t="s">
        <v>390</v>
      </c>
      <c r="C338" s="91" t="s">
        <v>564</v>
      </c>
      <c r="D338" s="92">
        <v>6198536</v>
      </c>
      <c r="E338" s="92">
        <v>6198536</v>
      </c>
      <c r="F338" s="93">
        <f t="shared" si="21"/>
        <v>0</v>
      </c>
    </row>
    <row r="339" spans="1:6" ht="23" hidden="1" x14ac:dyDescent="0.25">
      <c r="A339" s="90" t="s">
        <v>488</v>
      </c>
      <c r="B339" s="94" t="s">
        <v>390</v>
      </c>
      <c r="C339" s="91" t="s">
        <v>565</v>
      </c>
      <c r="D339" s="92"/>
      <c r="E339" s="92"/>
      <c r="F339" s="93">
        <f t="shared" si="21"/>
        <v>0</v>
      </c>
    </row>
    <row r="340" spans="1:6" ht="47.5" customHeight="1" x14ac:dyDescent="0.25">
      <c r="A340" s="90" t="s">
        <v>490</v>
      </c>
      <c r="B340" s="94" t="s">
        <v>390</v>
      </c>
      <c r="C340" s="91" t="s">
        <v>566</v>
      </c>
      <c r="D340" s="92">
        <v>1826278</v>
      </c>
      <c r="E340" s="92">
        <v>1657053.94</v>
      </c>
      <c r="F340" s="93">
        <f t="shared" si="21"/>
        <v>169224.06000000006</v>
      </c>
    </row>
    <row r="341" spans="1:6" ht="23" x14ac:dyDescent="0.25">
      <c r="A341" s="90" t="s">
        <v>492</v>
      </c>
      <c r="B341" s="94" t="s">
        <v>390</v>
      </c>
      <c r="C341" s="91" t="s">
        <v>567</v>
      </c>
      <c r="D341" s="92">
        <f>D342</f>
        <v>770510</v>
      </c>
      <c r="E341" s="92">
        <f>E342</f>
        <v>764495</v>
      </c>
      <c r="F341" s="93">
        <f t="shared" si="21"/>
        <v>6015</v>
      </c>
    </row>
    <row r="342" spans="1:6" ht="34.5" x14ac:dyDescent="0.25">
      <c r="A342" s="90" t="s">
        <v>398</v>
      </c>
      <c r="B342" s="94" t="s">
        <v>390</v>
      </c>
      <c r="C342" s="91" t="s">
        <v>568</v>
      </c>
      <c r="D342" s="92">
        <f>SUM(D343:D344)</f>
        <v>770510</v>
      </c>
      <c r="E342" s="92">
        <f>SUM(E343:E344)</f>
        <v>764495</v>
      </c>
      <c r="F342" s="93">
        <f t="shared" si="21"/>
        <v>6015</v>
      </c>
    </row>
    <row r="343" spans="1:6" ht="34.5" x14ac:dyDescent="0.25">
      <c r="A343" s="90" t="s">
        <v>495</v>
      </c>
      <c r="B343" s="94" t="s">
        <v>390</v>
      </c>
      <c r="C343" s="91" t="s">
        <v>569</v>
      </c>
      <c r="D343" s="92">
        <v>682087</v>
      </c>
      <c r="E343" s="92">
        <v>676072</v>
      </c>
      <c r="F343" s="93">
        <f t="shared" si="21"/>
        <v>6015</v>
      </c>
    </row>
    <row r="344" spans="1:6" x14ac:dyDescent="0.25">
      <c r="A344" s="90" t="s">
        <v>400</v>
      </c>
      <c r="B344" s="94" t="s">
        <v>390</v>
      </c>
      <c r="C344" s="91" t="s">
        <v>570</v>
      </c>
      <c r="D344" s="92">
        <v>88423</v>
      </c>
      <c r="E344" s="92">
        <v>88423</v>
      </c>
      <c r="F344" s="93">
        <f t="shared" si="21"/>
        <v>0</v>
      </c>
    </row>
    <row r="345" spans="1:6" hidden="1" x14ac:dyDescent="0.25">
      <c r="A345" s="90" t="s">
        <v>500</v>
      </c>
      <c r="B345" s="94" t="s">
        <v>390</v>
      </c>
      <c r="C345" s="91" t="s">
        <v>571</v>
      </c>
      <c r="D345" s="92">
        <f>D346</f>
        <v>0</v>
      </c>
      <c r="E345" s="92">
        <f>E346</f>
        <v>0</v>
      </c>
      <c r="F345" s="93">
        <f>D345-E345</f>
        <v>0</v>
      </c>
    </row>
    <row r="346" spans="1:6" hidden="1" x14ac:dyDescent="0.25">
      <c r="A346" s="90" t="s">
        <v>502</v>
      </c>
      <c r="B346" s="94" t="s">
        <v>390</v>
      </c>
      <c r="C346" s="91" t="s">
        <v>572</v>
      </c>
      <c r="D346" s="92">
        <f>SUM(D347:D347)</f>
        <v>0</v>
      </c>
      <c r="E346" s="92">
        <f>SUM(E347:E347)</f>
        <v>0</v>
      </c>
      <c r="F346" s="93">
        <f>D346-E346</f>
        <v>0</v>
      </c>
    </row>
    <row r="347" spans="1:6" hidden="1" x14ac:dyDescent="0.25">
      <c r="A347" s="90" t="s">
        <v>508</v>
      </c>
      <c r="B347" s="94" t="s">
        <v>390</v>
      </c>
      <c r="C347" s="91" t="s">
        <v>573</v>
      </c>
      <c r="D347" s="92"/>
      <c r="E347" s="92"/>
      <c r="F347" s="93">
        <f>D347-E347</f>
        <v>0</v>
      </c>
    </row>
    <row r="348" spans="1:6" ht="34.5" x14ac:dyDescent="0.3">
      <c r="A348" s="89" t="s">
        <v>574</v>
      </c>
      <c r="B348" s="81" t="s">
        <v>390</v>
      </c>
      <c r="C348" s="88" t="s">
        <v>575</v>
      </c>
      <c r="D348" s="83">
        <f>D349+D354</f>
        <v>14688487.999999998</v>
      </c>
      <c r="E348" s="83">
        <f>E349+E354</f>
        <v>14655191.859999999</v>
      </c>
      <c r="F348" s="84">
        <f t="shared" si="21"/>
        <v>33296.139999998733</v>
      </c>
    </row>
    <row r="349" spans="1:6" ht="69" x14ac:dyDescent="0.25">
      <c r="A349" s="90" t="s">
        <v>482</v>
      </c>
      <c r="B349" s="94" t="s">
        <v>390</v>
      </c>
      <c r="C349" s="91" t="s">
        <v>576</v>
      </c>
      <c r="D349" s="92">
        <f>D350</f>
        <v>14429519.239999998</v>
      </c>
      <c r="E349" s="92">
        <f>E350</f>
        <v>14396223.1</v>
      </c>
      <c r="F349" s="93">
        <f t="shared" si="21"/>
        <v>33296.139999998733</v>
      </c>
    </row>
    <row r="350" spans="1:6" ht="23" x14ac:dyDescent="0.25">
      <c r="A350" s="90" t="s">
        <v>484</v>
      </c>
      <c r="B350" s="94" t="s">
        <v>390</v>
      </c>
      <c r="C350" s="91" t="s">
        <v>577</v>
      </c>
      <c r="D350" s="92">
        <f>SUM(D351:D353)</f>
        <v>14429519.239999998</v>
      </c>
      <c r="E350" s="92">
        <f>SUM(E351:E353)</f>
        <v>14396223.1</v>
      </c>
      <c r="F350" s="93">
        <f t="shared" si="21"/>
        <v>33296.139999998733</v>
      </c>
    </row>
    <row r="351" spans="1:6" x14ac:dyDescent="0.25">
      <c r="A351" s="90" t="s">
        <v>486</v>
      </c>
      <c r="B351" s="94" t="s">
        <v>390</v>
      </c>
      <c r="C351" s="91" t="s">
        <v>578</v>
      </c>
      <c r="D351" s="92">
        <v>11059587.539999999</v>
      </c>
      <c r="E351" s="92">
        <v>11038317.060000001</v>
      </c>
      <c r="F351" s="93">
        <f t="shared" si="21"/>
        <v>21270.479999998584</v>
      </c>
    </row>
    <row r="352" spans="1:6" ht="23" x14ac:dyDescent="0.25">
      <c r="A352" s="90" t="s">
        <v>488</v>
      </c>
      <c r="B352" s="94" t="s">
        <v>390</v>
      </c>
      <c r="C352" s="91" t="s">
        <v>579</v>
      </c>
      <c r="D352" s="92">
        <v>29936.7</v>
      </c>
      <c r="E352" s="92">
        <v>29936.7</v>
      </c>
      <c r="F352" s="93">
        <f>D352-E352</f>
        <v>0</v>
      </c>
    </row>
    <row r="353" spans="1:81" ht="50.5" customHeight="1" x14ac:dyDescent="0.25">
      <c r="A353" s="90" t="s">
        <v>490</v>
      </c>
      <c r="B353" s="94" t="s">
        <v>390</v>
      </c>
      <c r="C353" s="91" t="s">
        <v>580</v>
      </c>
      <c r="D353" s="92">
        <v>3339995</v>
      </c>
      <c r="E353" s="92">
        <v>3327969.34</v>
      </c>
      <c r="F353" s="93">
        <f t="shared" si="21"/>
        <v>12025.660000000149</v>
      </c>
    </row>
    <row r="354" spans="1:81" ht="25" customHeight="1" x14ac:dyDescent="0.25">
      <c r="A354" s="90" t="s">
        <v>548</v>
      </c>
      <c r="B354" s="94" t="s">
        <v>390</v>
      </c>
      <c r="C354" s="91" t="s">
        <v>581</v>
      </c>
      <c r="D354" s="92">
        <f>D355</f>
        <v>258968.76</v>
      </c>
      <c r="E354" s="92">
        <f>E355</f>
        <v>258968.76</v>
      </c>
      <c r="F354" s="93">
        <f t="shared" si="21"/>
        <v>0</v>
      </c>
    </row>
    <row r="355" spans="1:81" ht="28" customHeight="1" x14ac:dyDescent="0.25">
      <c r="A355" s="90" t="s">
        <v>550</v>
      </c>
      <c r="B355" s="94" t="s">
        <v>390</v>
      </c>
      <c r="C355" s="91" t="s">
        <v>582</v>
      </c>
      <c r="D355" s="92">
        <f>D356</f>
        <v>258968.76</v>
      </c>
      <c r="E355" s="92">
        <f>E356</f>
        <v>258968.76</v>
      </c>
      <c r="F355" s="93">
        <f t="shared" si="21"/>
        <v>0</v>
      </c>
    </row>
    <row r="356" spans="1:81" ht="36.65" customHeight="1" x14ac:dyDescent="0.25">
      <c r="A356" s="90" t="s">
        <v>552</v>
      </c>
      <c r="B356" s="94" t="s">
        <v>390</v>
      </c>
      <c r="C356" s="91" t="s">
        <v>583</v>
      </c>
      <c r="D356" s="92">
        <v>258968.76</v>
      </c>
      <c r="E356" s="92">
        <v>258968.76</v>
      </c>
      <c r="F356" s="93">
        <f t="shared" si="21"/>
        <v>0</v>
      </c>
    </row>
    <row r="357" spans="1:81" ht="34.5" x14ac:dyDescent="0.3">
      <c r="A357" s="106" t="s">
        <v>584</v>
      </c>
      <c r="B357" s="94" t="s">
        <v>33</v>
      </c>
      <c r="C357" s="107" t="s">
        <v>585</v>
      </c>
      <c r="D357" s="83">
        <f>D358+D534+D622+D777+D977+D1009+D1035+D1047</f>
        <v>624148152.5</v>
      </c>
      <c r="E357" s="83">
        <f>E358+E534+E622+E777+E977+E1009+E1035+E1047</f>
        <v>609463669.50999999</v>
      </c>
      <c r="F357" s="84">
        <f t="shared" si="21"/>
        <v>14684482.99000001</v>
      </c>
    </row>
    <row r="358" spans="1:81" s="109" customFormat="1" ht="23" x14ac:dyDescent="0.3">
      <c r="A358" s="89" t="s">
        <v>586</v>
      </c>
      <c r="B358" s="108" t="s">
        <v>390</v>
      </c>
      <c r="C358" s="107" t="s">
        <v>587</v>
      </c>
      <c r="D358" s="83">
        <f>D359+D365+D382+D429+D445+D437+D433</f>
        <v>164381271.56999999</v>
      </c>
      <c r="E358" s="83">
        <f>E359+E365+E382+E429+E445+E437+E433</f>
        <v>159375372.34</v>
      </c>
      <c r="F358" s="84">
        <f t="shared" si="21"/>
        <v>5005899.2299999893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</row>
    <row r="359" spans="1:81" ht="38.15" customHeight="1" x14ac:dyDescent="0.3">
      <c r="A359" s="89" t="s">
        <v>588</v>
      </c>
      <c r="B359" s="81" t="s">
        <v>390</v>
      </c>
      <c r="C359" s="107" t="s">
        <v>589</v>
      </c>
      <c r="D359" s="83">
        <f t="shared" ref="D359:E361" si="22">D360</f>
        <v>3951815</v>
      </c>
      <c r="E359" s="83">
        <f t="shared" si="22"/>
        <v>3946656.2700000005</v>
      </c>
      <c r="F359" s="84">
        <f t="shared" si="21"/>
        <v>5158.7299999995157</v>
      </c>
    </row>
    <row r="360" spans="1:81" ht="46" x14ac:dyDescent="0.3">
      <c r="A360" s="89" t="s">
        <v>590</v>
      </c>
      <c r="B360" s="81" t="s">
        <v>390</v>
      </c>
      <c r="C360" s="88" t="s">
        <v>591</v>
      </c>
      <c r="D360" s="83">
        <f t="shared" si="22"/>
        <v>3951815</v>
      </c>
      <c r="E360" s="83">
        <f t="shared" si="22"/>
        <v>3946656.2700000005</v>
      </c>
      <c r="F360" s="84">
        <f t="shared" si="21"/>
        <v>5158.7299999995157</v>
      </c>
    </row>
    <row r="361" spans="1:81" ht="69" x14ac:dyDescent="0.25">
      <c r="A361" s="90" t="s">
        <v>482</v>
      </c>
      <c r="B361" s="94" t="s">
        <v>390</v>
      </c>
      <c r="C361" s="91" t="s">
        <v>592</v>
      </c>
      <c r="D361" s="92">
        <f t="shared" si="22"/>
        <v>3951815</v>
      </c>
      <c r="E361" s="92">
        <f t="shared" si="22"/>
        <v>3946656.2700000005</v>
      </c>
      <c r="F361" s="93">
        <f t="shared" si="21"/>
        <v>5158.7299999995157</v>
      </c>
    </row>
    <row r="362" spans="1:81" ht="23" x14ac:dyDescent="0.25">
      <c r="A362" s="90" t="s">
        <v>535</v>
      </c>
      <c r="B362" s="94" t="s">
        <v>390</v>
      </c>
      <c r="C362" s="91" t="s">
        <v>593</v>
      </c>
      <c r="D362" s="92">
        <f>SUM(D363:D364)</f>
        <v>3951815</v>
      </c>
      <c r="E362" s="92">
        <f>SUM(E363:E364)</f>
        <v>3946656.2700000005</v>
      </c>
      <c r="F362" s="93">
        <f t="shared" si="21"/>
        <v>5158.7299999995157</v>
      </c>
    </row>
    <row r="363" spans="1:81" ht="23" x14ac:dyDescent="0.25">
      <c r="A363" s="90" t="s">
        <v>537</v>
      </c>
      <c r="B363" s="94" t="s">
        <v>390</v>
      </c>
      <c r="C363" s="91" t="s">
        <v>594</v>
      </c>
      <c r="D363" s="92">
        <v>3137728</v>
      </c>
      <c r="E363" s="92">
        <v>3132569.99</v>
      </c>
      <c r="F363" s="93">
        <f t="shared" si="21"/>
        <v>5158.0099999997765</v>
      </c>
    </row>
    <row r="364" spans="1:81" ht="46.5" customHeight="1" x14ac:dyDescent="0.25">
      <c r="A364" s="90" t="s">
        <v>541</v>
      </c>
      <c r="B364" s="94" t="s">
        <v>390</v>
      </c>
      <c r="C364" s="91" t="s">
        <v>595</v>
      </c>
      <c r="D364" s="92">
        <v>814087</v>
      </c>
      <c r="E364" s="92">
        <v>814086.28</v>
      </c>
      <c r="F364" s="93">
        <f t="shared" si="21"/>
        <v>0.71999999997206032</v>
      </c>
    </row>
    <row r="365" spans="1:81" ht="57.5" x14ac:dyDescent="0.3">
      <c r="A365" s="89" t="s">
        <v>596</v>
      </c>
      <c r="B365" s="94" t="s">
        <v>390</v>
      </c>
      <c r="C365" s="107" t="s">
        <v>597</v>
      </c>
      <c r="D365" s="83">
        <f>D366+D371</f>
        <v>4735782</v>
      </c>
      <c r="E365" s="83">
        <f>E366+E371</f>
        <v>4680754.13</v>
      </c>
      <c r="F365" s="84">
        <f t="shared" si="21"/>
        <v>55027.870000000112</v>
      </c>
    </row>
    <row r="366" spans="1:81" s="44" customFormat="1" ht="57.5" x14ac:dyDescent="0.3">
      <c r="A366" s="89" t="s">
        <v>598</v>
      </c>
      <c r="B366" s="81" t="s">
        <v>390</v>
      </c>
      <c r="C366" s="88" t="s">
        <v>599</v>
      </c>
      <c r="D366" s="83">
        <f>D367</f>
        <v>3412296</v>
      </c>
      <c r="E366" s="83">
        <f>E367</f>
        <v>3358008.12</v>
      </c>
      <c r="F366" s="84">
        <f t="shared" si="21"/>
        <v>54287.879999999888</v>
      </c>
    </row>
    <row r="367" spans="1:81" s="67" customFormat="1" ht="69" x14ac:dyDescent="0.25">
      <c r="A367" s="101" t="s">
        <v>482</v>
      </c>
      <c r="B367" s="102" t="s">
        <v>390</v>
      </c>
      <c r="C367" s="103" t="s">
        <v>600</v>
      </c>
      <c r="D367" s="92">
        <f>D368</f>
        <v>3412296</v>
      </c>
      <c r="E367" s="92">
        <f>E368</f>
        <v>3358008.12</v>
      </c>
      <c r="F367" s="93">
        <f t="shared" si="21"/>
        <v>54287.879999999888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</row>
    <row r="368" spans="1:81" s="67" customFormat="1" ht="23" x14ac:dyDescent="0.25">
      <c r="A368" s="101" t="s">
        <v>535</v>
      </c>
      <c r="B368" s="102" t="s">
        <v>390</v>
      </c>
      <c r="C368" s="103" t="s">
        <v>601</v>
      </c>
      <c r="D368" s="92">
        <f>SUM(D369:D370)</f>
        <v>3412296</v>
      </c>
      <c r="E368" s="92">
        <f>SUM(E369:E370)</f>
        <v>3358008.12</v>
      </c>
      <c r="F368" s="93">
        <f t="shared" si="21"/>
        <v>54287.879999999888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</row>
    <row r="369" spans="1:81" ht="23" x14ac:dyDescent="0.25">
      <c r="A369" s="90" t="s">
        <v>537</v>
      </c>
      <c r="B369" s="102" t="s">
        <v>390</v>
      </c>
      <c r="C369" s="103" t="s">
        <v>602</v>
      </c>
      <c r="D369" s="104">
        <v>2624522</v>
      </c>
      <c r="E369" s="104">
        <v>2624327.62</v>
      </c>
      <c r="F369" s="93">
        <f t="shared" si="21"/>
        <v>194.37999999988824</v>
      </c>
    </row>
    <row r="370" spans="1:81" ht="46.5" customHeight="1" x14ac:dyDescent="0.25">
      <c r="A370" s="90" t="s">
        <v>541</v>
      </c>
      <c r="B370" s="102" t="s">
        <v>390</v>
      </c>
      <c r="C370" s="103" t="s">
        <v>603</v>
      </c>
      <c r="D370" s="104">
        <v>787774</v>
      </c>
      <c r="E370" s="104">
        <v>733680.5</v>
      </c>
      <c r="F370" s="93">
        <f t="shared" si="21"/>
        <v>54093.5</v>
      </c>
    </row>
    <row r="371" spans="1:81" s="44" customFormat="1" ht="57.5" x14ac:dyDescent="0.3">
      <c r="A371" s="89" t="s">
        <v>604</v>
      </c>
      <c r="B371" s="81" t="s">
        <v>390</v>
      </c>
      <c r="C371" s="107" t="s">
        <v>605</v>
      </c>
      <c r="D371" s="83">
        <f>D372+D378</f>
        <v>1323486</v>
      </c>
      <c r="E371" s="83">
        <f>E372+E378</f>
        <v>1322746.01</v>
      </c>
      <c r="F371" s="84">
        <f t="shared" si="21"/>
        <v>739.98999999999069</v>
      </c>
    </row>
    <row r="372" spans="1:81" ht="69" x14ac:dyDescent="0.25">
      <c r="A372" s="90" t="s">
        <v>482</v>
      </c>
      <c r="B372" s="94" t="s">
        <v>390</v>
      </c>
      <c r="C372" s="91" t="s">
        <v>606</v>
      </c>
      <c r="D372" s="92">
        <f>D373</f>
        <v>1266486</v>
      </c>
      <c r="E372" s="92">
        <f>E373</f>
        <v>1266169.01</v>
      </c>
      <c r="F372" s="93">
        <f t="shared" si="21"/>
        <v>316.98999999999069</v>
      </c>
    </row>
    <row r="373" spans="1:81" ht="23" x14ac:dyDescent="0.25">
      <c r="A373" s="90" t="s">
        <v>535</v>
      </c>
      <c r="B373" s="94" t="s">
        <v>390</v>
      </c>
      <c r="C373" s="91" t="s">
        <v>607</v>
      </c>
      <c r="D373" s="92">
        <f>SUM(D374:D377)</f>
        <v>1266486</v>
      </c>
      <c r="E373" s="92">
        <f>SUM(E374:E377)</f>
        <v>1266169.01</v>
      </c>
      <c r="F373" s="93">
        <f t="shared" si="21"/>
        <v>316.98999999999069</v>
      </c>
    </row>
    <row r="374" spans="1:81" ht="23" x14ac:dyDescent="0.25">
      <c r="A374" s="90" t="s">
        <v>537</v>
      </c>
      <c r="B374" s="94" t="s">
        <v>390</v>
      </c>
      <c r="C374" s="91" t="s">
        <v>608</v>
      </c>
      <c r="D374" s="92">
        <v>934239</v>
      </c>
      <c r="E374" s="92">
        <v>933923.32</v>
      </c>
      <c r="F374" s="93">
        <f t="shared" si="21"/>
        <v>315.68000000005122</v>
      </c>
    </row>
    <row r="375" spans="1:81" ht="34.5" x14ac:dyDescent="0.25">
      <c r="A375" s="90" t="s">
        <v>539</v>
      </c>
      <c r="B375" s="94" t="s">
        <v>390</v>
      </c>
      <c r="C375" s="91" t="s">
        <v>609</v>
      </c>
      <c r="D375" s="92">
        <v>74655</v>
      </c>
      <c r="E375" s="92">
        <v>74654.8</v>
      </c>
      <c r="F375" s="93">
        <f t="shared" si="21"/>
        <v>0.19999999999708962</v>
      </c>
    </row>
    <row r="376" spans="1:81" ht="34.5" x14ac:dyDescent="0.25">
      <c r="A376" s="90" t="s">
        <v>610</v>
      </c>
      <c r="B376" s="94" t="s">
        <v>390</v>
      </c>
      <c r="C376" s="91" t="s">
        <v>611</v>
      </c>
      <c r="D376" s="92">
        <v>3885</v>
      </c>
      <c r="E376" s="92">
        <v>3884.8</v>
      </c>
      <c r="F376" s="93">
        <f>D376-E376</f>
        <v>0.1999999999998181</v>
      </c>
    </row>
    <row r="377" spans="1:81" ht="46.5" customHeight="1" x14ac:dyDescent="0.25">
      <c r="A377" s="90" t="s">
        <v>541</v>
      </c>
      <c r="B377" s="94" t="s">
        <v>390</v>
      </c>
      <c r="C377" s="91" t="s">
        <v>612</v>
      </c>
      <c r="D377" s="92">
        <v>253707</v>
      </c>
      <c r="E377" s="92">
        <v>253706.09</v>
      </c>
      <c r="F377" s="93">
        <f t="shared" si="21"/>
        <v>0.91000000000349246</v>
      </c>
    </row>
    <row r="378" spans="1:81" ht="23" x14ac:dyDescent="0.25">
      <c r="A378" s="90" t="s">
        <v>492</v>
      </c>
      <c r="B378" s="94" t="s">
        <v>390</v>
      </c>
      <c r="C378" s="91" t="s">
        <v>613</v>
      </c>
      <c r="D378" s="92">
        <f>D379</f>
        <v>57000</v>
      </c>
      <c r="E378" s="92">
        <f>E379</f>
        <v>56577</v>
      </c>
      <c r="F378" s="93">
        <f t="shared" si="21"/>
        <v>423</v>
      </c>
    </row>
    <row r="379" spans="1:81" ht="34.5" x14ac:dyDescent="0.25">
      <c r="A379" s="90" t="s">
        <v>398</v>
      </c>
      <c r="B379" s="94" t="s">
        <v>390</v>
      </c>
      <c r="C379" s="91" t="s">
        <v>614</v>
      </c>
      <c r="D379" s="92">
        <f>SUM(D380:D381)</f>
        <v>57000</v>
      </c>
      <c r="E379" s="92">
        <f>SUM(E380:E381)</f>
        <v>56577</v>
      </c>
      <c r="F379" s="93">
        <f t="shared" si="21"/>
        <v>423</v>
      </c>
    </row>
    <row r="380" spans="1:81" s="110" customFormat="1" ht="34.5" x14ac:dyDescent="0.25">
      <c r="A380" s="90" t="s">
        <v>495</v>
      </c>
      <c r="B380" s="94" t="s">
        <v>390</v>
      </c>
      <c r="C380" s="91" t="s">
        <v>615</v>
      </c>
      <c r="D380" s="92">
        <v>10600</v>
      </c>
      <c r="E380" s="92">
        <v>10600</v>
      </c>
      <c r="F380" s="93">
        <f t="shared" si="21"/>
        <v>0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</row>
    <row r="381" spans="1:81" s="67" customFormat="1" x14ac:dyDescent="0.25">
      <c r="A381" s="90" t="s">
        <v>400</v>
      </c>
      <c r="B381" s="94" t="s">
        <v>390</v>
      </c>
      <c r="C381" s="91" t="s">
        <v>616</v>
      </c>
      <c r="D381" s="92">
        <v>46400</v>
      </c>
      <c r="E381" s="92">
        <v>45977</v>
      </c>
      <c r="F381" s="93">
        <f t="shared" si="21"/>
        <v>423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</row>
    <row r="382" spans="1:81" s="44" customFormat="1" ht="57.5" x14ac:dyDescent="0.3">
      <c r="A382" s="89" t="s">
        <v>617</v>
      </c>
      <c r="B382" s="81" t="s">
        <v>390</v>
      </c>
      <c r="C382" s="107" t="s">
        <v>618</v>
      </c>
      <c r="D382" s="83">
        <f>D383+D405+D421+D400+D425</f>
        <v>141824635.19999999</v>
      </c>
      <c r="E382" s="83">
        <f>E383+E405+E421+E400+E425</f>
        <v>137645900.65000001</v>
      </c>
      <c r="F382" s="84">
        <f t="shared" si="21"/>
        <v>4178734.5499999821</v>
      </c>
    </row>
    <row r="383" spans="1:81" s="44" customFormat="1" ht="23" x14ac:dyDescent="0.3">
      <c r="A383" s="111" t="s">
        <v>619</v>
      </c>
      <c r="B383" s="81" t="s">
        <v>390</v>
      </c>
      <c r="C383" s="88" t="s">
        <v>620</v>
      </c>
      <c r="D383" s="83">
        <f>D384+D388+D395</f>
        <v>661260</v>
      </c>
      <c r="E383" s="83">
        <f>E384+E388+E395</f>
        <v>661260</v>
      </c>
      <c r="F383" s="84">
        <f t="shared" si="21"/>
        <v>0</v>
      </c>
    </row>
    <row r="384" spans="1:81" s="44" customFormat="1" ht="80.5" x14ac:dyDescent="0.3">
      <c r="A384" s="112" t="s">
        <v>621</v>
      </c>
      <c r="B384" s="81" t="s">
        <v>390</v>
      </c>
      <c r="C384" s="88" t="s">
        <v>622</v>
      </c>
      <c r="D384" s="83">
        <f>D385</f>
        <v>14099.3</v>
      </c>
      <c r="E384" s="83">
        <f>E385</f>
        <v>14099.3</v>
      </c>
      <c r="F384" s="84">
        <f t="shared" ref="F384:F474" si="23">D384-E384</f>
        <v>0</v>
      </c>
    </row>
    <row r="385" spans="1:6" s="44" customFormat="1" ht="69" x14ac:dyDescent="0.3">
      <c r="A385" s="90" t="s">
        <v>482</v>
      </c>
      <c r="B385" s="94" t="s">
        <v>390</v>
      </c>
      <c r="C385" s="91" t="s">
        <v>623</v>
      </c>
      <c r="D385" s="92">
        <f>D386</f>
        <v>14099.3</v>
      </c>
      <c r="E385" s="92">
        <f>E386</f>
        <v>14099.3</v>
      </c>
      <c r="F385" s="93">
        <f>D385-E385</f>
        <v>0</v>
      </c>
    </row>
    <row r="386" spans="1:6" s="44" customFormat="1" ht="23" x14ac:dyDescent="0.3">
      <c r="A386" s="90" t="s">
        <v>535</v>
      </c>
      <c r="B386" s="94" t="s">
        <v>390</v>
      </c>
      <c r="C386" s="91" t="s">
        <v>624</v>
      </c>
      <c r="D386" s="92">
        <f>SUM(D387:D387)</f>
        <v>14099.3</v>
      </c>
      <c r="E386" s="92">
        <f>SUM(E387:E387)</f>
        <v>14099.3</v>
      </c>
      <c r="F386" s="93">
        <f>D386-E386</f>
        <v>0</v>
      </c>
    </row>
    <row r="387" spans="1:6" s="44" customFormat="1" ht="34.5" x14ac:dyDescent="0.3">
      <c r="A387" s="90" t="s">
        <v>539</v>
      </c>
      <c r="B387" s="94" t="s">
        <v>390</v>
      </c>
      <c r="C387" s="91" t="s">
        <v>625</v>
      </c>
      <c r="D387" s="92">
        <v>14099.3</v>
      </c>
      <c r="E387" s="92">
        <v>14099.3</v>
      </c>
      <c r="F387" s="93">
        <f>D387-E387</f>
        <v>0</v>
      </c>
    </row>
    <row r="388" spans="1:6" s="44" customFormat="1" ht="80.5" x14ac:dyDescent="0.3">
      <c r="A388" s="111" t="s">
        <v>626</v>
      </c>
      <c r="B388" s="81" t="s">
        <v>390</v>
      </c>
      <c r="C388" s="88" t="s">
        <v>627</v>
      </c>
      <c r="D388" s="83">
        <f>D389+D392</f>
        <v>437864.2</v>
      </c>
      <c r="E388" s="83">
        <f>E389+E392</f>
        <v>437864.2</v>
      </c>
      <c r="F388" s="84">
        <f t="shared" si="23"/>
        <v>0</v>
      </c>
    </row>
    <row r="389" spans="1:6" s="44" customFormat="1" ht="69" x14ac:dyDescent="0.3">
      <c r="A389" s="90" t="s">
        <v>482</v>
      </c>
      <c r="B389" s="94" t="s">
        <v>390</v>
      </c>
      <c r="C389" s="91" t="s">
        <v>628</v>
      </c>
      <c r="D389" s="92">
        <f>D390</f>
        <v>437864.2</v>
      </c>
      <c r="E389" s="92">
        <f>E390</f>
        <v>437864.2</v>
      </c>
      <c r="F389" s="93">
        <f t="shared" si="23"/>
        <v>0</v>
      </c>
    </row>
    <row r="390" spans="1:6" s="44" customFormat="1" ht="23" x14ac:dyDescent="0.3">
      <c r="A390" s="90" t="s">
        <v>535</v>
      </c>
      <c r="B390" s="94" t="s">
        <v>390</v>
      </c>
      <c r="C390" s="91" t="s">
        <v>629</v>
      </c>
      <c r="D390" s="92">
        <f>SUM(D391:D391)</f>
        <v>437864.2</v>
      </c>
      <c r="E390" s="92">
        <f>SUM(E391:E391)</f>
        <v>437864.2</v>
      </c>
      <c r="F390" s="93">
        <f t="shared" si="23"/>
        <v>0</v>
      </c>
    </row>
    <row r="391" spans="1:6" s="44" customFormat="1" ht="34.5" x14ac:dyDescent="0.3">
      <c r="A391" s="90" t="s">
        <v>539</v>
      </c>
      <c r="B391" s="94" t="s">
        <v>390</v>
      </c>
      <c r="C391" s="91" t="s">
        <v>630</v>
      </c>
      <c r="D391" s="92">
        <v>437864.2</v>
      </c>
      <c r="E391" s="92">
        <v>437864.2</v>
      </c>
      <c r="F391" s="93">
        <f t="shared" si="23"/>
        <v>0</v>
      </c>
    </row>
    <row r="392" spans="1:6" s="44" customFormat="1" ht="23" hidden="1" x14ac:dyDescent="0.3">
      <c r="A392" s="90" t="s">
        <v>492</v>
      </c>
      <c r="B392" s="94" t="s">
        <v>390</v>
      </c>
      <c r="C392" s="91" t="s">
        <v>631</v>
      </c>
      <c r="D392" s="92">
        <f>D393</f>
        <v>0</v>
      </c>
      <c r="E392" s="92">
        <f>E393</f>
        <v>0</v>
      </c>
      <c r="F392" s="93">
        <f t="shared" si="23"/>
        <v>0</v>
      </c>
    </row>
    <row r="393" spans="1:6" s="44" customFormat="1" ht="34.5" hidden="1" x14ac:dyDescent="0.3">
      <c r="A393" s="90" t="s">
        <v>398</v>
      </c>
      <c r="B393" s="94" t="s">
        <v>390</v>
      </c>
      <c r="C393" s="91" t="s">
        <v>632</v>
      </c>
      <c r="D393" s="92">
        <f>SUM(D394:D394)</f>
        <v>0</v>
      </c>
      <c r="E393" s="92">
        <f>SUM(E394:E394)</f>
        <v>0</v>
      </c>
      <c r="F393" s="93">
        <f t="shared" si="23"/>
        <v>0</v>
      </c>
    </row>
    <row r="394" spans="1:6" s="44" customFormat="1" ht="13" hidden="1" x14ac:dyDescent="0.3">
      <c r="A394" s="90" t="s">
        <v>400</v>
      </c>
      <c r="B394" s="94" t="s">
        <v>390</v>
      </c>
      <c r="C394" s="91" t="s">
        <v>633</v>
      </c>
      <c r="D394" s="92">
        <f>22000-22000</f>
        <v>0</v>
      </c>
      <c r="E394" s="92"/>
      <c r="F394" s="93">
        <f t="shared" si="23"/>
        <v>0</v>
      </c>
    </row>
    <row r="395" spans="1:6" s="44" customFormat="1" ht="57.5" x14ac:dyDescent="0.3">
      <c r="A395" s="111" t="s">
        <v>634</v>
      </c>
      <c r="B395" s="81" t="s">
        <v>390</v>
      </c>
      <c r="C395" s="88" t="s">
        <v>635</v>
      </c>
      <c r="D395" s="83">
        <f>D396</f>
        <v>209296.5</v>
      </c>
      <c r="E395" s="83">
        <f>E396</f>
        <v>209296.5</v>
      </c>
      <c r="F395" s="84">
        <f t="shared" si="23"/>
        <v>0</v>
      </c>
    </row>
    <row r="396" spans="1:6" s="44" customFormat="1" ht="69" x14ac:dyDescent="0.3">
      <c r="A396" s="90" t="s">
        <v>482</v>
      </c>
      <c r="B396" s="94" t="s">
        <v>390</v>
      </c>
      <c r="C396" s="91" t="s">
        <v>636</v>
      </c>
      <c r="D396" s="92">
        <f>D397</f>
        <v>209296.5</v>
      </c>
      <c r="E396" s="92">
        <f>E397</f>
        <v>209296.5</v>
      </c>
      <c r="F396" s="93">
        <f t="shared" si="23"/>
        <v>0</v>
      </c>
    </row>
    <row r="397" spans="1:6" s="44" customFormat="1" ht="23" x14ac:dyDescent="0.3">
      <c r="A397" s="90" t="s">
        <v>535</v>
      </c>
      <c r="B397" s="94" t="s">
        <v>390</v>
      </c>
      <c r="C397" s="91" t="s">
        <v>637</v>
      </c>
      <c r="D397" s="92">
        <f>SUM(D398:D399)</f>
        <v>209296.5</v>
      </c>
      <c r="E397" s="92">
        <f>SUM(E398:E399)</f>
        <v>209296.5</v>
      </c>
      <c r="F397" s="93">
        <f t="shared" si="23"/>
        <v>0</v>
      </c>
    </row>
    <row r="398" spans="1:6" s="44" customFormat="1" ht="23" x14ac:dyDescent="0.3">
      <c r="A398" s="90" t="s">
        <v>537</v>
      </c>
      <c r="B398" s="94" t="s">
        <v>390</v>
      </c>
      <c r="C398" s="91" t="s">
        <v>638</v>
      </c>
      <c r="D398" s="92">
        <v>160750</v>
      </c>
      <c r="E398" s="92">
        <v>160750</v>
      </c>
      <c r="F398" s="93">
        <f t="shared" si="23"/>
        <v>0</v>
      </c>
    </row>
    <row r="399" spans="1:6" s="44" customFormat="1" ht="49" customHeight="1" x14ac:dyDescent="0.3">
      <c r="A399" s="90" t="s">
        <v>639</v>
      </c>
      <c r="B399" s="94" t="s">
        <v>390</v>
      </c>
      <c r="C399" s="91" t="s">
        <v>640</v>
      </c>
      <c r="D399" s="92">
        <v>48546.5</v>
      </c>
      <c r="E399" s="92">
        <v>48546.5</v>
      </c>
      <c r="F399" s="93">
        <f t="shared" si="23"/>
        <v>0</v>
      </c>
    </row>
    <row r="400" spans="1:6" s="44" customFormat="1" ht="69" x14ac:dyDescent="0.3">
      <c r="A400" s="89" t="s">
        <v>641</v>
      </c>
      <c r="B400" s="81" t="s">
        <v>390</v>
      </c>
      <c r="C400" s="88" t="s">
        <v>642</v>
      </c>
      <c r="D400" s="83">
        <f>D401</f>
        <v>250000</v>
      </c>
      <c r="E400" s="83">
        <f>E401</f>
        <v>130159</v>
      </c>
      <c r="F400" s="84">
        <f>D400-E400</f>
        <v>119841</v>
      </c>
    </row>
    <row r="401" spans="1:81" s="44" customFormat="1" ht="23" x14ac:dyDescent="0.3">
      <c r="A401" s="90" t="s">
        <v>492</v>
      </c>
      <c r="B401" s="94" t="s">
        <v>390</v>
      </c>
      <c r="C401" s="91" t="s">
        <v>643</v>
      </c>
      <c r="D401" s="92">
        <f>D402</f>
        <v>250000</v>
      </c>
      <c r="E401" s="92">
        <f>E402</f>
        <v>130159</v>
      </c>
      <c r="F401" s="93">
        <f>D401-E401</f>
        <v>119841</v>
      </c>
    </row>
    <row r="402" spans="1:81" s="44" customFormat="1" ht="34.5" x14ac:dyDescent="0.3">
      <c r="A402" s="90" t="s">
        <v>398</v>
      </c>
      <c r="B402" s="94" t="s">
        <v>390</v>
      </c>
      <c r="C402" s="91" t="s">
        <v>644</v>
      </c>
      <c r="D402" s="92">
        <f>SUM(D403:D404)</f>
        <v>250000</v>
      </c>
      <c r="E402" s="92">
        <f>SUM(E403:E404)</f>
        <v>130159</v>
      </c>
      <c r="F402" s="93">
        <f>D402-E402</f>
        <v>119841</v>
      </c>
    </row>
    <row r="403" spans="1:81" s="44" customFormat="1" ht="34.5" x14ac:dyDescent="0.3">
      <c r="A403" s="90" t="s">
        <v>495</v>
      </c>
      <c r="B403" s="94" t="s">
        <v>390</v>
      </c>
      <c r="C403" s="91" t="s">
        <v>645</v>
      </c>
      <c r="D403" s="92">
        <v>14199</v>
      </c>
      <c r="E403" s="92">
        <v>14199</v>
      </c>
      <c r="F403" s="93">
        <f>D403-E403</f>
        <v>0</v>
      </c>
    </row>
    <row r="404" spans="1:81" s="44" customFormat="1" ht="13" x14ac:dyDescent="0.3">
      <c r="A404" s="90" t="s">
        <v>400</v>
      </c>
      <c r="B404" s="94" t="s">
        <v>390</v>
      </c>
      <c r="C404" s="91" t="s">
        <v>646</v>
      </c>
      <c r="D404" s="92">
        <v>235801</v>
      </c>
      <c r="E404" s="92">
        <v>115960</v>
      </c>
      <c r="F404" s="93">
        <f>D404-E404</f>
        <v>119841</v>
      </c>
    </row>
    <row r="405" spans="1:81" s="67" customFormat="1" ht="46" x14ac:dyDescent="0.3">
      <c r="A405" s="89" t="s">
        <v>647</v>
      </c>
      <c r="B405" s="81" t="s">
        <v>390</v>
      </c>
      <c r="C405" s="88" t="s">
        <v>648</v>
      </c>
      <c r="D405" s="83">
        <f>D406+D411+D416</f>
        <v>140852585.19999999</v>
      </c>
      <c r="E405" s="83">
        <f>E406+E411+E416</f>
        <v>136793691.65000001</v>
      </c>
      <c r="F405" s="84">
        <f t="shared" si="23"/>
        <v>4058893.5499999821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</row>
    <row r="406" spans="1:81" ht="69" x14ac:dyDescent="0.25">
      <c r="A406" s="90" t="s">
        <v>482</v>
      </c>
      <c r="B406" s="94" t="s">
        <v>390</v>
      </c>
      <c r="C406" s="91" t="s">
        <v>649</v>
      </c>
      <c r="D406" s="92">
        <f>D407</f>
        <v>134237263</v>
      </c>
      <c r="E406" s="92">
        <f>E407</f>
        <v>131285424.75000001</v>
      </c>
      <c r="F406" s="93">
        <f t="shared" si="23"/>
        <v>2951838.2499999851</v>
      </c>
    </row>
    <row r="407" spans="1:81" ht="23" x14ac:dyDescent="0.25">
      <c r="A407" s="90" t="s">
        <v>535</v>
      </c>
      <c r="B407" s="94" t="s">
        <v>390</v>
      </c>
      <c r="C407" s="91" t="s">
        <v>650</v>
      </c>
      <c r="D407" s="92">
        <f>SUM(D408:D410)</f>
        <v>134237263</v>
      </c>
      <c r="E407" s="92">
        <f>SUM(E408:E410)</f>
        <v>131285424.75000001</v>
      </c>
      <c r="F407" s="93">
        <f t="shared" si="23"/>
        <v>2951838.2499999851</v>
      </c>
    </row>
    <row r="408" spans="1:81" ht="23" x14ac:dyDescent="0.25">
      <c r="A408" s="90" t="s">
        <v>537</v>
      </c>
      <c r="B408" s="94" t="s">
        <v>390</v>
      </c>
      <c r="C408" s="91" t="s">
        <v>651</v>
      </c>
      <c r="D408" s="92">
        <v>103598223</v>
      </c>
      <c r="E408" s="92">
        <v>103510607.23</v>
      </c>
      <c r="F408" s="93">
        <f t="shared" si="23"/>
        <v>87615.769999995828</v>
      </c>
    </row>
    <row r="409" spans="1:81" ht="34.5" x14ac:dyDescent="0.25">
      <c r="A409" s="90" t="s">
        <v>539</v>
      </c>
      <c r="B409" s="94" t="s">
        <v>390</v>
      </c>
      <c r="C409" s="91" t="s">
        <v>652</v>
      </c>
      <c r="D409" s="92">
        <v>1291400</v>
      </c>
      <c r="E409" s="92">
        <v>1246417.43</v>
      </c>
      <c r="F409" s="93">
        <f t="shared" si="23"/>
        <v>44982.570000000065</v>
      </c>
    </row>
    <row r="410" spans="1:81" ht="46.5" customHeight="1" x14ac:dyDescent="0.25">
      <c r="A410" s="90" t="s">
        <v>541</v>
      </c>
      <c r="B410" s="94" t="s">
        <v>390</v>
      </c>
      <c r="C410" s="91" t="s">
        <v>653</v>
      </c>
      <c r="D410" s="92">
        <v>29347640</v>
      </c>
      <c r="E410" s="92">
        <v>26528400.09</v>
      </c>
      <c r="F410" s="93">
        <f t="shared" si="23"/>
        <v>2819239.91</v>
      </c>
    </row>
    <row r="411" spans="1:81" ht="23" x14ac:dyDescent="0.25">
      <c r="A411" s="90" t="s">
        <v>492</v>
      </c>
      <c r="B411" s="94" t="s">
        <v>390</v>
      </c>
      <c r="C411" s="91" t="s">
        <v>654</v>
      </c>
      <c r="D411" s="92">
        <f>D412</f>
        <v>6531136.2000000002</v>
      </c>
      <c r="E411" s="92">
        <f>E412</f>
        <v>5424080.9000000004</v>
      </c>
      <c r="F411" s="93">
        <f t="shared" si="23"/>
        <v>1107055.2999999998</v>
      </c>
    </row>
    <row r="412" spans="1:81" ht="34.5" x14ac:dyDescent="0.25">
      <c r="A412" s="90" t="s">
        <v>398</v>
      </c>
      <c r="B412" s="94" t="s">
        <v>390</v>
      </c>
      <c r="C412" s="91" t="s">
        <v>655</v>
      </c>
      <c r="D412" s="92">
        <f>SUM(D413:D415)</f>
        <v>6531136.2000000002</v>
      </c>
      <c r="E412" s="92">
        <f>SUM(E413:E415)</f>
        <v>5424080.9000000004</v>
      </c>
      <c r="F412" s="93">
        <f t="shared" si="23"/>
        <v>1107055.2999999998</v>
      </c>
    </row>
    <row r="413" spans="1:81" s="67" customFormat="1" ht="34.5" x14ac:dyDescent="0.25">
      <c r="A413" s="90" t="s">
        <v>495</v>
      </c>
      <c r="B413" s="94" t="s">
        <v>390</v>
      </c>
      <c r="C413" s="91" t="s">
        <v>656</v>
      </c>
      <c r="D413" s="92">
        <v>202214</v>
      </c>
      <c r="E413" s="92">
        <v>160657.18</v>
      </c>
      <c r="F413" s="93">
        <f t="shared" si="23"/>
        <v>41556.820000000007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</row>
    <row r="414" spans="1:81" s="67" customFormat="1" x14ac:dyDescent="0.25">
      <c r="A414" s="90" t="s">
        <v>400</v>
      </c>
      <c r="B414" s="94" t="s">
        <v>390</v>
      </c>
      <c r="C414" s="91" t="s">
        <v>657</v>
      </c>
      <c r="D414" s="92">
        <v>5217868.2</v>
      </c>
      <c r="E414" s="92">
        <v>4391078.45</v>
      </c>
      <c r="F414" s="93">
        <f>D414-E414</f>
        <v>826789.75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</row>
    <row r="415" spans="1:81" x14ac:dyDescent="0.25">
      <c r="A415" s="90" t="s">
        <v>498</v>
      </c>
      <c r="B415" s="94" t="s">
        <v>390</v>
      </c>
      <c r="C415" s="91" t="s">
        <v>658</v>
      </c>
      <c r="D415" s="92">
        <v>1111054</v>
      </c>
      <c r="E415" s="92">
        <v>872345.27</v>
      </c>
      <c r="F415" s="93">
        <f t="shared" si="23"/>
        <v>238708.72999999998</v>
      </c>
    </row>
    <row r="416" spans="1:81" x14ac:dyDescent="0.25">
      <c r="A416" s="90" t="s">
        <v>500</v>
      </c>
      <c r="B416" s="94" t="s">
        <v>390</v>
      </c>
      <c r="C416" s="91" t="s">
        <v>659</v>
      </c>
      <c r="D416" s="92">
        <f>D417</f>
        <v>84186</v>
      </c>
      <c r="E416" s="92">
        <f>E417</f>
        <v>84186</v>
      </c>
      <c r="F416" s="93">
        <f t="shared" si="23"/>
        <v>0</v>
      </c>
    </row>
    <row r="417" spans="1:81" s="67" customFormat="1" x14ac:dyDescent="0.25">
      <c r="A417" s="90" t="s">
        <v>502</v>
      </c>
      <c r="B417" s="94" t="s">
        <v>390</v>
      </c>
      <c r="C417" s="91" t="s">
        <v>660</v>
      </c>
      <c r="D417" s="92">
        <f>SUM(D418:D420)</f>
        <v>84186</v>
      </c>
      <c r="E417" s="92">
        <f>SUM(E418:E420)</f>
        <v>84186</v>
      </c>
      <c r="F417" s="93">
        <f t="shared" si="23"/>
        <v>0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</row>
    <row r="418" spans="1:81" s="67" customFormat="1" ht="23" x14ac:dyDescent="0.25">
      <c r="A418" s="90" t="s">
        <v>504</v>
      </c>
      <c r="B418" s="94" t="s">
        <v>390</v>
      </c>
      <c r="C418" s="91" t="s">
        <v>661</v>
      </c>
      <c r="D418" s="92">
        <v>48220</v>
      </c>
      <c r="E418" s="92">
        <v>48220</v>
      </c>
      <c r="F418" s="93">
        <f t="shared" si="23"/>
        <v>0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</row>
    <row r="419" spans="1:81" s="67" customFormat="1" x14ac:dyDescent="0.25">
      <c r="A419" s="90" t="s">
        <v>506</v>
      </c>
      <c r="B419" s="94" t="s">
        <v>390</v>
      </c>
      <c r="C419" s="91" t="s">
        <v>662</v>
      </c>
      <c r="D419" s="92">
        <v>35966</v>
      </c>
      <c r="E419" s="92">
        <v>35966</v>
      </c>
      <c r="F419" s="93">
        <f>D419-E419</f>
        <v>0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</row>
    <row r="420" spans="1:81" s="67" customFormat="1" hidden="1" x14ac:dyDescent="0.25">
      <c r="A420" s="90" t="s">
        <v>508</v>
      </c>
      <c r="B420" s="94" t="s">
        <v>390</v>
      </c>
      <c r="C420" s="91" t="s">
        <v>663</v>
      </c>
      <c r="D420" s="92"/>
      <c r="E420" s="92"/>
      <c r="F420" s="93">
        <f t="shared" si="23"/>
        <v>0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</row>
    <row r="421" spans="1:81" s="67" customFormat="1" ht="34.5" x14ac:dyDescent="0.3">
      <c r="A421" s="113" t="s">
        <v>664</v>
      </c>
      <c r="B421" s="81" t="s">
        <v>390</v>
      </c>
      <c r="C421" s="88" t="s">
        <v>665</v>
      </c>
      <c r="D421" s="83">
        <f t="shared" ref="D421:E427" si="24">D422</f>
        <v>2200</v>
      </c>
      <c r="E421" s="83">
        <f t="shared" si="24"/>
        <v>2200</v>
      </c>
      <c r="F421" s="84">
        <f t="shared" si="23"/>
        <v>0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</row>
    <row r="422" spans="1:81" s="67" customFormat="1" ht="23" x14ac:dyDescent="0.25">
      <c r="A422" s="90" t="s">
        <v>492</v>
      </c>
      <c r="B422" s="94" t="s">
        <v>390</v>
      </c>
      <c r="C422" s="91" t="s">
        <v>666</v>
      </c>
      <c r="D422" s="92">
        <f t="shared" si="24"/>
        <v>2200</v>
      </c>
      <c r="E422" s="92">
        <f t="shared" si="24"/>
        <v>2200</v>
      </c>
      <c r="F422" s="93">
        <f t="shared" si="23"/>
        <v>0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</row>
    <row r="423" spans="1:81" s="67" customFormat="1" ht="34.5" x14ac:dyDescent="0.25">
      <c r="A423" s="90" t="s">
        <v>398</v>
      </c>
      <c r="B423" s="94" t="s">
        <v>390</v>
      </c>
      <c r="C423" s="91" t="s">
        <v>667</v>
      </c>
      <c r="D423" s="92">
        <f t="shared" si="24"/>
        <v>2200</v>
      </c>
      <c r="E423" s="92">
        <f t="shared" si="24"/>
        <v>2200</v>
      </c>
      <c r="F423" s="93">
        <f t="shared" si="23"/>
        <v>0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</row>
    <row r="424" spans="1:81" s="67" customFormat="1" x14ac:dyDescent="0.25">
      <c r="A424" s="90" t="s">
        <v>400</v>
      </c>
      <c r="B424" s="94" t="s">
        <v>390</v>
      </c>
      <c r="C424" s="91" t="s">
        <v>668</v>
      </c>
      <c r="D424" s="92">
        <v>2200</v>
      </c>
      <c r="E424" s="92">
        <v>2200</v>
      </c>
      <c r="F424" s="93">
        <f t="shared" si="23"/>
        <v>0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</row>
    <row r="425" spans="1:81" s="67" customFormat="1" ht="26" x14ac:dyDescent="0.3">
      <c r="A425" s="87" t="s">
        <v>669</v>
      </c>
      <c r="B425" s="81" t="s">
        <v>390</v>
      </c>
      <c r="C425" s="88" t="s">
        <v>670</v>
      </c>
      <c r="D425" s="83">
        <f t="shared" si="24"/>
        <v>58590</v>
      </c>
      <c r="E425" s="83">
        <f t="shared" si="24"/>
        <v>58590</v>
      </c>
      <c r="F425" s="84">
        <f t="shared" si="23"/>
        <v>0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</row>
    <row r="426" spans="1:81" s="67" customFormat="1" ht="23" x14ac:dyDescent="0.3">
      <c r="A426" s="90" t="s">
        <v>492</v>
      </c>
      <c r="B426" s="94" t="s">
        <v>390</v>
      </c>
      <c r="C426" s="91" t="s">
        <v>671</v>
      </c>
      <c r="D426" s="92">
        <f t="shared" si="24"/>
        <v>58590</v>
      </c>
      <c r="E426" s="92">
        <f t="shared" si="24"/>
        <v>58590</v>
      </c>
      <c r="F426" s="84">
        <f>D426-E426</f>
        <v>0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</row>
    <row r="427" spans="1:81" s="67" customFormat="1" ht="34.5" x14ac:dyDescent="0.3">
      <c r="A427" s="90" t="s">
        <v>398</v>
      </c>
      <c r="B427" s="94" t="s">
        <v>390</v>
      </c>
      <c r="C427" s="91" t="s">
        <v>672</v>
      </c>
      <c r="D427" s="92">
        <f t="shared" si="24"/>
        <v>58590</v>
      </c>
      <c r="E427" s="92">
        <f t="shared" si="24"/>
        <v>58590</v>
      </c>
      <c r="F427" s="84">
        <f t="shared" si="23"/>
        <v>0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</row>
    <row r="428" spans="1:81" s="67" customFormat="1" x14ac:dyDescent="0.25">
      <c r="A428" s="90" t="s">
        <v>400</v>
      </c>
      <c r="B428" s="94" t="s">
        <v>390</v>
      </c>
      <c r="C428" s="91" t="s">
        <v>673</v>
      </c>
      <c r="D428" s="92">
        <v>58590</v>
      </c>
      <c r="E428" s="92">
        <v>58590</v>
      </c>
      <c r="F428" s="93">
        <f t="shared" si="23"/>
        <v>0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</row>
    <row r="429" spans="1:81" s="67" customFormat="1" ht="46" x14ac:dyDescent="0.3">
      <c r="A429" s="89" t="s">
        <v>674</v>
      </c>
      <c r="B429" s="81" t="s">
        <v>390</v>
      </c>
      <c r="C429" s="107" t="s">
        <v>675</v>
      </c>
      <c r="D429" s="83">
        <f t="shared" ref="D429:E431" si="25">D430</f>
        <v>68510</v>
      </c>
      <c r="E429" s="83">
        <f t="shared" si="25"/>
        <v>68510</v>
      </c>
      <c r="F429" s="93">
        <f t="shared" si="23"/>
        <v>0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</row>
    <row r="430" spans="1:81" s="67" customFormat="1" ht="60.65" customHeight="1" x14ac:dyDescent="0.3">
      <c r="A430" s="89" t="s">
        <v>676</v>
      </c>
      <c r="B430" s="81" t="s">
        <v>390</v>
      </c>
      <c r="C430" s="88" t="s">
        <v>677</v>
      </c>
      <c r="D430" s="83">
        <f t="shared" si="25"/>
        <v>68510</v>
      </c>
      <c r="E430" s="83">
        <f t="shared" si="25"/>
        <v>68510</v>
      </c>
      <c r="F430" s="84">
        <f t="shared" si="23"/>
        <v>0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</row>
    <row r="431" spans="1:81" s="67" customFormat="1" x14ac:dyDescent="0.25">
      <c r="A431" s="90" t="s">
        <v>678</v>
      </c>
      <c r="B431" s="94" t="s">
        <v>390</v>
      </c>
      <c r="C431" s="91" t="s">
        <v>679</v>
      </c>
      <c r="D431" s="92">
        <f t="shared" si="25"/>
        <v>68510</v>
      </c>
      <c r="E431" s="92">
        <f t="shared" si="25"/>
        <v>68510</v>
      </c>
      <c r="F431" s="93">
        <f t="shared" si="23"/>
        <v>0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</row>
    <row r="432" spans="1:81" s="67" customFormat="1" x14ac:dyDescent="0.25">
      <c r="A432" s="90" t="s">
        <v>680</v>
      </c>
      <c r="B432" s="94" t="s">
        <v>390</v>
      </c>
      <c r="C432" s="91" t="s">
        <v>681</v>
      </c>
      <c r="D432" s="92">
        <v>68510</v>
      </c>
      <c r="E432" s="92">
        <v>68510</v>
      </c>
      <c r="F432" s="93">
        <f t="shared" si="23"/>
        <v>0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</row>
    <row r="433" spans="1:81" s="67" customFormat="1" ht="23" hidden="1" x14ac:dyDescent="0.3">
      <c r="A433" s="89" t="s">
        <v>682</v>
      </c>
      <c r="B433" s="81" t="s">
        <v>390</v>
      </c>
      <c r="C433" s="107" t="s">
        <v>683</v>
      </c>
      <c r="D433" s="83">
        <f t="shared" ref="D433:E435" si="26">D434</f>
        <v>0</v>
      </c>
      <c r="E433" s="83">
        <f t="shared" si="26"/>
        <v>0</v>
      </c>
      <c r="F433" s="84">
        <f t="shared" si="23"/>
        <v>0</v>
      </c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</row>
    <row r="434" spans="1:81" s="67" customFormat="1" ht="34.5" hidden="1" x14ac:dyDescent="0.3">
      <c r="A434" s="89" t="s">
        <v>684</v>
      </c>
      <c r="B434" s="81" t="s">
        <v>390</v>
      </c>
      <c r="C434" s="88" t="s">
        <v>685</v>
      </c>
      <c r="D434" s="83">
        <f t="shared" si="26"/>
        <v>0</v>
      </c>
      <c r="E434" s="83">
        <f t="shared" si="26"/>
        <v>0</v>
      </c>
      <c r="F434" s="84">
        <f>D434-E434</f>
        <v>0</v>
      </c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</row>
    <row r="435" spans="1:81" s="67" customFormat="1" hidden="1" x14ac:dyDescent="0.25">
      <c r="A435" s="90" t="s">
        <v>500</v>
      </c>
      <c r="B435" s="94" t="s">
        <v>390</v>
      </c>
      <c r="C435" s="91" t="s">
        <v>686</v>
      </c>
      <c r="D435" s="92">
        <f t="shared" si="26"/>
        <v>0</v>
      </c>
      <c r="E435" s="92">
        <f t="shared" si="26"/>
        <v>0</v>
      </c>
      <c r="F435" s="93">
        <f>D435-E435</f>
        <v>0</v>
      </c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</row>
    <row r="436" spans="1:81" s="67" customFormat="1" hidden="1" x14ac:dyDescent="0.25">
      <c r="A436" s="90" t="s">
        <v>687</v>
      </c>
      <c r="B436" s="94" t="s">
        <v>390</v>
      </c>
      <c r="C436" s="91" t="s">
        <v>688</v>
      </c>
      <c r="D436" s="92"/>
      <c r="E436" s="92"/>
      <c r="F436" s="93">
        <f>D436-E436</f>
        <v>0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</row>
    <row r="437" spans="1:81" s="67" customFormat="1" ht="13" x14ac:dyDescent="0.3">
      <c r="A437" s="89" t="s">
        <v>689</v>
      </c>
      <c r="B437" s="81" t="s">
        <v>390</v>
      </c>
      <c r="C437" s="107" t="s">
        <v>690</v>
      </c>
      <c r="D437" s="83">
        <f>D438</f>
        <v>163561.66</v>
      </c>
      <c r="E437" s="83">
        <f>E438</f>
        <v>0</v>
      </c>
      <c r="F437" s="84">
        <f t="shared" si="23"/>
        <v>163561.66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</row>
    <row r="438" spans="1:81" ht="23" x14ac:dyDescent="0.3">
      <c r="A438" s="89" t="s">
        <v>691</v>
      </c>
      <c r="B438" s="81" t="s">
        <v>390</v>
      </c>
      <c r="C438" s="88" t="s">
        <v>692</v>
      </c>
      <c r="D438" s="83">
        <f>D439+D442</f>
        <v>163561.66</v>
      </c>
      <c r="E438" s="83">
        <f>E439+E442</f>
        <v>0</v>
      </c>
      <c r="F438" s="84">
        <f t="shared" si="23"/>
        <v>163561.66</v>
      </c>
    </row>
    <row r="439" spans="1:81" ht="13" x14ac:dyDescent="0.3">
      <c r="A439" s="89" t="s">
        <v>693</v>
      </c>
      <c r="B439" s="81" t="s">
        <v>390</v>
      </c>
      <c r="C439" s="88" t="s">
        <v>694</v>
      </c>
      <c r="D439" s="83">
        <f>D440</f>
        <v>163561.66</v>
      </c>
      <c r="E439" s="83">
        <f>E440</f>
        <v>0</v>
      </c>
      <c r="F439" s="84">
        <f>D439-E439</f>
        <v>163561.66</v>
      </c>
    </row>
    <row r="440" spans="1:81" x14ac:dyDescent="0.25">
      <c r="A440" s="90" t="s">
        <v>500</v>
      </c>
      <c r="B440" s="94" t="s">
        <v>390</v>
      </c>
      <c r="C440" s="91" t="s">
        <v>695</v>
      </c>
      <c r="D440" s="92">
        <f>D441</f>
        <v>163561.66</v>
      </c>
      <c r="E440" s="92">
        <f>E441</f>
        <v>0</v>
      </c>
      <c r="F440" s="93">
        <f t="shared" si="23"/>
        <v>163561.66</v>
      </c>
    </row>
    <row r="441" spans="1:81" x14ac:dyDescent="0.25">
      <c r="A441" s="90" t="s">
        <v>696</v>
      </c>
      <c r="B441" s="94" t="s">
        <v>390</v>
      </c>
      <c r="C441" s="91" t="s">
        <v>697</v>
      </c>
      <c r="D441" s="92">
        <v>163561.66</v>
      </c>
      <c r="E441" s="92"/>
      <c r="F441" s="93">
        <f t="shared" si="23"/>
        <v>163561.66</v>
      </c>
    </row>
    <row r="442" spans="1:81" ht="34.5" hidden="1" x14ac:dyDescent="0.3">
      <c r="A442" s="89" t="s">
        <v>698</v>
      </c>
      <c r="B442" s="81" t="s">
        <v>390</v>
      </c>
      <c r="C442" s="88" t="s">
        <v>699</v>
      </c>
      <c r="D442" s="83">
        <f>D443</f>
        <v>0</v>
      </c>
      <c r="E442" s="83">
        <f>E443</f>
        <v>0</v>
      </c>
      <c r="F442" s="84">
        <f t="shared" si="23"/>
        <v>0</v>
      </c>
    </row>
    <row r="443" spans="1:81" hidden="1" x14ac:dyDescent="0.25">
      <c r="A443" s="90" t="s">
        <v>500</v>
      </c>
      <c r="B443" s="94" t="s">
        <v>390</v>
      </c>
      <c r="C443" s="91" t="s">
        <v>700</v>
      </c>
      <c r="D443" s="92">
        <f>D444</f>
        <v>0</v>
      </c>
      <c r="E443" s="92">
        <f>E444</f>
        <v>0</v>
      </c>
      <c r="F443" s="93">
        <f>D443-E443</f>
        <v>0</v>
      </c>
    </row>
    <row r="444" spans="1:81" hidden="1" x14ac:dyDescent="0.25">
      <c r="A444" s="90" t="s">
        <v>696</v>
      </c>
      <c r="B444" s="94" t="s">
        <v>390</v>
      </c>
      <c r="C444" s="91" t="s">
        <v>701</v>
      </c>
      <c r="D444" s="92"/>
      <c r="E444" s="92"/>
      <c r="F444" s="93">
        <f>D444-E444</f>
        <v>0</v>
      </c>
    </row>
    <row r="445" spans="1:81" ht="13" x14ac:dyDescent="0.3">
      <c r="A445" s="89" t="s">
        <v>702</v>
      </c>
      <c r="B445" s="81" t="s">
        <v>390</v>
      </c>
      <c r="C445" s="107" t="s">
        <v>703</v>
      </c>
      <c r="D445" s="83">
        <f>D446+D451+D485+D491+D515+D531</f>
        <v>13636967.710000001</v>
      </c>
      <c r="E445" s="83">
        <f>E446+E451+E485+E491+E515+E531</f>
        <v>13033551.289999997</v>
      </c>
      <c r="F445" s="84">
        <f t="shared" si="23"/>
        <v>603416.42000000365</v>
      </c>
    </row>
    <row r="446" spans="1:81" ht="23" x14ac:dyDescent="0.3">
      <c r="A446" s="111" t="s">
        <v>704</v>
      </c>
      <c r="B446" s="81" t="s">
        <v>390</v>
      </c>
      <c r="C446" s="88" t="s">
        <v>705</v>
      </c>
      <c r="D446" s="83">
        <f t="shared" ref="D446:E449" si="27">D447</f>
        <v>10500</v>
      </c>
      <c r="E446" s="83">
        <f t="shared" si="27"/>
        <v>10500</v>
      </c>
      <c r="F446" s="84">
        <f t="shared" si="23"/>
        <v>0</v>
      </c>
    </row>
    <row r="447" spans="1:81" ht="57.5" x14ac:dyDescent="0.3">
      <c r="A447" s="89" t="s">
        <v>706</v>
      </c>
      <c r="B447" s="81" t="s">
        <v>390</v>
      </c>
      <c r="C447" s="88" t="s">
        <v>707</v>
      </c>
      <c r="D447" s="83">
        <f t="shared" si="27"/>
        <v>10500</v>
      </c>
      <c r="E447" s="83">
        <f t="shared" si="27"/>
        <v>10500</v>
      </c>
      <c r="F447" s="84">
        <f t="shared" si="23"/>
        <v>0</v>
      </c>
    </row>
    <row r="448" spans="1:81" ht="23" x14ac:dyDescent="0.25">
      <c r="A448" s="90" t="s">
        <v>492</v>
      </c>
      <c r="B448" s="94" t="s">
        <v>390</v>
      </c>
      <c r="C448" s="91" t="s">
        <v>708</v>
      </c>
      <c r="D448" s="92">
        <f t="shared" si="27"/>
        <v>10500</v>
      </c>
      <c r="E448" s="92">
        <f t="shared" si="27"/>
        <v>10500</v>
      </c>
      <c r="F448" s="93">
        <f t="shared" si="23"/>
        <v>0</v>
      </c>
    </row>
    <row r="449" spans="1:6" ht="34.5" x14ac:dyDescent="0.25">
      <c r="A449" s="90" t="s">
        <v>398</v>
      </c>
      <c r="B449" s="94" t="s">
        <v>390</v>
      </c>
      <c r="C449" s="91" t="s">
        <v>709</v>
      </c>
      <c r="D449" s="92">
        <f t="shared" si="27"/>
        <v>10500</v>
      </c>
      <c r="E449" s="92">
        <f t="shared" si="27"/>
        <v>10500</v>
      </c>
      <c r="F449" s="93">
        <f t="shared" si="23"/>
        <v>0</v>
      </c>
    </row>
    <row r="450" spans="1:6" x14ac:dyDescent="0.25">
      <c r="A450" s="90" t="s">
        <v>400</v>
      </c>
      <c r="B450" s="94" t="s">
        <v>390</v>
      </c>
      <c r="C450" s="91" t="s">
        <v>710</v>
      </c>
      <c r="D450" s="92">
        <v>10500</v>
      </c>
      <c r="E450" s="92">
        <v>10500</v>
      </c>
      <c r="F450" s="93">
        <f t="shared" si="23"/>
        <v>0</v>
      </c>
    </row>
    <row r="451" spans="1:6" ht="39" x14ac:dyDescent="0.3">
      <c r="A451" s="114" t="s">
        <v>711</v>
      </c>
      <c r="B451" s="81" t="s">
        <v>390</v>
      </c>
      <c r="C451" s="88" t="s">
        <v>712</v>
      </c>
      <c r="D451" s="83">
        <f>D452+D461+D474+D481</f>
        <v>2040398</v>
      </c>
      <c r="E451" s="83">
        <f>E452+E461+E474+E481</f>
        <v>2033981.6</v>
      </c>
      <c r="F451" s="84">
        <f t="shared" si="23"/>
        <v>6416.3999999999069</v>
      </c>
    </row>
    <row r="452" spans="1:6" ht="57.5" x14ac:dyDescent="0.3">
      <c r="A452" s="111" t="s">
        <v>713</v>
      </c>
      <c r="B452" s="81" t="s">
        <v>390</v>
      </c>
      <c r="C452" s="88" t="s">
        <v>714</v>
      </c>
      <c r="D452" s="83">
        <f>D453+D456+D458</f>
        <v>293758</v>
      </c>
      <c r="E452" s="83">
        <f>E453+E456+E458</f>
        <v>293757.59999999998</v>
      </c>
      <c r="F452" s="84">
        <f t="shared" si="23"/>
        <v>0.40000000002328306</v>
      </c>
    </row>
    <row r="453" spans="1:6" ht="23" x14ac:dyDescent="0.25">
      <c r="A453" s="90" t="s">
        <v>492</v>
      </c>
      <c r="B453" s="94" t="s">
        <v>390</v>
      </c>
      <c r="C453" s="91" t="s">
        <v>715</v>
      </c>
      <c r="D453" s="92">
        <f>D454</f>
        <v>163758</v>
      </c>
      <c r="E453" s="92">
        <f>E454</f>
        <v>163757.6</v>
      </c>
      <c r="F453" s="93">
        <f>D453-E453</f>
        <v>0.39999999999417923</v>
      </c>
    </row>
    <row r="454" spans="1:6" ht="34.5" x14ac:dyDescent="0.25">
      <c r="A454" s="90" t="s">
        <v>398</v>
      </c>
      <c r="B454" s="94" t="s">
        <v>390</v>
      </c>
      <c r="C454" s="91" t="s">
        <v>716</v>
      </c>
      <c r="D454" s="92">
        <f>D455</f>
        <v>163758</v>
      </c>
      <c r="E454" s="92">
        <f>E455</f>
        <v>163757.6</v>
      </c>
      <c r="F454" s="93">
        <f>D454-E454</f>
        <v>0.39999999999417923</v>
      </c>
    </row>
    <row r="455" spans="1:6" x14ac:dyDescent="0.25">
      <c r="A455" s="90" t="s">
        <v>400</v>
      </c>
      <c r="B455" s="94" t="s">
        <v>390</v>
      </c>
      <c r="C455" s="91" t="s">
        <v>717</v>
      </c>
      <c r="D455" s="92">
        <v>163758</v>
      </c>
      <c r="E455" s="92">
        <v>163757.6</v>
      </c>
      <c r="F455" s="93">
        <f>D455-E455</f>
        <v>0.39999999999417923</v>
      </c>
    </row>
    <row r="456" spans="1:6" ht="25.5" hidden="1" customHeight="1" x14ac:dyDescent="0.25">
      <c r="A456" s="90" t="s">
        <v>548</v>
      </c>
      <c r="B456" s="94" t="s">
        <v>390</v>
      </c>
      <c r="C456" s="91" t="s">
        <v>718</v>
      </c>
      <c r="D456" s="92">
        <f>D457</f>
        <v>0</v>
      </c>
      <c r="E456" s="92">
        <f>E457</f>
        <v>0</v>
      </c>
      <c r="F456" s="93">
        <f>D456-E456</f>
        <v>0</v>
      </c>
    </row>
    <row r="457" spans="1:6" ht="13.5" hidden="1" customHeight="1" x14ac:dyDescent="0.25">
      <c r="A457" s="90" t="s">
        <v>719</v>
      </c>
      <c r="B457" s="94" t="s">
        <v>390</v>
      </c>
      <c r="C457" s="91" t="s">
        <v>720</v>
      </c>
      <c r="D457" s="92"/>
      <c r="E457" s="92"/>
      <c r="F457" s="93">
        <f>D457-E457</f>
        <v>0</v>
      </c>
    </row>
    <row r="458" spans="1:6" ht="34.5" x14ac:dyDescent="0.25">
      <c r="A458" s="90" t="s">
        <v>404</v>
      </c>
      <c r="B458" s="94" t="s">
        <v>390</v>
      </c>
      <c r="C458" s="91" t="s">
        <v>721</v>
      </c>
      <c r="D458" s="92">
        <f>D459</f>
        <v>130000</v>
      </c>
      <c r="E458" s="92">
        <f>E459</f>
        <v>130000</v>
      </c>
      <c r="F458" s="93">
        <f t="shared" si="23"/>
        <v>0</v>
      </c>
    </row>
    <row r="459" spans="1:6" ht="57.5" x14ac:dyDescent="0.25">
      <c r="A459" s="90" t="s">
        <v>722</v>
      </c>
      <c r="B459" s="94" t="s">
        <v>390</v>
      </c>
      <c r="C459" s="91" t="s">
        <v>723</v>
      </c>
      <c r="D459" s="92">
        <f>D460</f>
        <v>130000</v>
      </c>
      <c r="E459" s="92">
        <f>E460</f>
        <v>130000</v>
      </c>
      <c r="F459" s="93">
        <f t="shared" si="23"/>
        <v>0</v>
      </c>
    </row>
    <row r="460" spans="1:6" ht="23" x14ac:dyDescent="0.25">
      <c r="A460" s="90" t="s">
        <v>724</v>
      </c>
      <c r="B460" s="94" t="s">
        <v>390</v>
      </c>
      <c r="C460" s="91" t="s">
        <v>725</v>
      </c>
      <c r="D460" s="92">
        <v>130000</v>
      </c>
      <c r="E460" s="92">
        <v>130000</v>
      </c>
      <c r="F460" s="93">
        <f t="shared" si="23"/>
        <v>0</v>
      </c>
    </row>
    <row r="461" spans="1:6" ht="69" x14ac:dyDescent="0.3">
      <c r="A461" s="111" t="s">
        <v>726</v>
      </c>
      <c r="B461" s="81" t="s">
        <v>390</v>
      </c>
      <c r="C461" s="88" t="s">
        <v>727</v>
      </c>
      <c r="D461" s="83">
        <f t="shared" ref="D461:E463" si="28">D462</f>
        <v>416640</v>
      </c>
      <c r="E461" s="83">
        <f t="shared" si="28"/>
        <v>410224</v>
      </c>
      <c r="F461" s="84">
        <f>D461-E461</f>
        <v>6416</v>
      </c>
    </row>
    <row r="462" spans="1:6" ht="34.5" x14ac:dyDescent="0.25">
      <c r="A462" s="90" t="s">
        <v>404</v>
      </c>
      <c r="B462" s="94" t="s">
        <v>390</v>
      </c>
      <c r="C462" s="91" t="s">
        <v>728</v>
      </c>
      <c r="D462" s="92">
        <f t="shared" si="28"/>
        <v>416640</v>
      </c>
      <c r="E462" s="92">
        <f t="shared" si="28"/>
        <v>410224</v>
      </c>
      <c r="F462" s="93">
        <f>D462-E462</f>
        <v>6416</v>
      </c>
    </row>
    <row r="463" spans="1:6" ht="57.5" x14ac:dyDescent="0.25">
      <c r="A463" s="90" t="s">
        <v>722</v>
      </c>
      <c r="B463" s="94" t="s">
        <v>390</v>
      </c>
      <c r="C463" s="91" t="s">
        <v>729</v>
      </c>
      <c r="D463" s="92">
        <f t="shared" si="28"/>
        <v>416640</v>
      </c>
      <c r="E463" s="92">
        <f t="shared" si="28"/>
        <v>410224</v>
      </c>
      <c r="F463" s="93">
        <f>D463-E463</f>
        <v>6416</v>
      </c>
    </row>
    <row r="464" spans="1:6" ht="26.5" customHeight="1" x14ac:dyDescent="0.25">
      <c r="A464" s="90" t="s">
        <v>724</v>
      </c>
      <c r="B464" s="94" t="s">
        <v>390</v>
      </c>
      <c r="C464" s="91" t="s">
        <v>730</v>
      </c>
      <c r="D464" s="92">
        <f>D469+D473</f>
        <v>416640</v>
      </c>
      <c r="E464" s="92">
        <f>E469+E473</f>
        <v>410224</v>
      </c>
      <c r="F464" s="93">
        <f>D464-E464</f>
        <v>6416</v>
      </c>
    </row>
    <row r="465" spans="1:6" x14ac:dyDescent="0.25">
      <c r="A465" s="89" t="s">
        <v>121</v>
      </c>
      <c r="B465" s="94"/>
      <c r="C465" s="91"/>
      <c r="D465" s="92"/>
      <c r="E465" s="92"/>
      <c r="F465" s="93"/>
    </row>
    <row r="466" spans="1:6" ht="13" x14ac:dyDescent="0.3">
      <c r="A466" s="115" t="s">
        <v>414</v>
      </c>
      <c r="B466" s="81" t="s">
        <v>390</v>
      </c>
      <c r="C466" s="88" t="s">
        <v>727</v>
      </c>
      <c r="D466" s="83">
        <f t="shared" ref="D466:E468" si="29">D467</f>
        <v>220000</v>
      </c>
      <c r="E466" s="83">
        <f t="shared" si="29"/>
        <v>216612.14</v>
      </c>
      <c r="F466" s="84">
        <f t="shared" ref="F466:F473" si="30">D466-E466</f>
        <v>3387.859999999986</v>
      </c>
    </row>
    <row r="467" spans="1:6" ht="34.5" x14ac:dyDescent="0.25">
      <c r="A467" s="90" t="s">
        <v>404</v>
      </c>
      <c r="B467" s="94" t="s">
        <v>390</v>
      </c>
      <c r="C467" s="91" t="s">
        <v>728</v>
      </c>
      <c r="D467" s="92">
        <f t="shared" si="29"/>
        <v>220000</v>
      </c>
      <c r="E467" s="92">
        <f t="shared" si="29"/>
        <v>216612.14</v>
      </c>
      <c r="F467" s="93">
        <f t="shared" si="30"/>
        <v>3387.859999999986</v>
      </c>
    </row>
    <row r="468" spans="1:6" ht="57.5" x14ac:dyDescent="0.25">
      <c r="A468" s="90" t="s">
        <v>722</v>
      </c>
      <c r="B468" s="94" t="s">
        <v>390</v>
      </c>
      <c r="C468" s="91" t="s">
        <v>729</v>
      </c>
      <c r="D468" s="92">
        <f t="shared" si="29"/>
        <v>220000</v>
      </c>
      <c r="E468" s="92">
        <f t="shared" si="29"/>
        <v>216612.14</v>
      </c>
      <c r="F468" s="93">
        <f t="shared" si="30"/>
        <v>3387.859999999986</v>
      </c>
    </row>
    <row r="469" spans="1:6" ht="23.5" customHeight="1" x14ac:dyDescent="0.25">
      <c r="A469" s="90" t="s">
        <v>724</v>
      </c>
      <c r="B469" s="94" t="s">
        <v>390</v>
      </c>
      <c r="C469" s="91" t="s">
        <v>730</v>
      </c>
      <c r="D469" s="92">
        <f>220000</f>
        <v>220000</v>
      </c>
      <c r="E469" s="92">
        <f>188117.32+31682.03-3187.21</f>
        <v>216612.14</v>
      </c>
      <c r="F469" s="93">
        <f t="shared" si="30"/>
        <v>3387.859999999986</v>
      </c>
    </row>
    <row r="470" spans="1:6" ht="13" x14ac:dyDescent="0.3">
      <c r="A470" s="115" t="s">
        <v>731</v>
      </c>
      <c r="B470" s="81" t="s">
        <v>390</v>
      </c>
      <c r="C470" s="88" t="s">
        <v>727</v>
      </c>
      <c r="D470" s="83">
        <f t="shared" ref="D470:E472" si="31">D471</f>
        <v>196640</v>
      </c>
      <c r="E470" s="83">
        <f t="shared" si="31"/>
        <v>193611.86</v>
      </c>
      <c r="F470" s="84">
        <f t="shared" si="30"/>
        <v>3028.140000000014</v>
      </c>
    </row>
    <row r="471" spans="1:6" ht="34.5" x14ac:dyDescent="0.25">
      <c r="A471" s="90" t="s">
        <v>404</v>
      </c>
      <c r="B471" s="94" t="s">
        <v>390</v>
      </c>
      <c r="C471" s="91" t="s">
        <v>728</v>
      </c>
      <c r="D471" s="92">
        <f t="shared" si="31"/>
        <v>196640</v>
      </c>
      <c r="E471" s="92">
        <f t="shared" si="31"/>
        <v>193611.86</v>
      </c>
      <c r="F471" s="93">
        <f t="shared" si="30"/>
        <v>3028.140000000014</v>
      </c>
    </row>
    <row r="472" spans="1:6" ht="57.5" x14ac:dyDescent="0.25">
      <c r="A472" s="90" t="s">
        <v>722</v>
      </c>
      <c r="B472" s="94" t="s">
        <v>390</v>
      </c>
      <c r="C472" s="91" t="s">
        <v>729</v>
      </c>
      <c r="D472" s="92">
        <f t="shared" si="31"/>
        <v>196640</v>
      </c>
      <c r="E472" s="92">
        <f t="shared" si="31"/>
        <v>193611.86</v>
      </c>
      <c r="F472" s="93">
        <f t="shared" si="30"/>
        <v>3028.140000000014</v>
      </c>
    </row>
    <row r="473" spans="1:6" ht="26.5" customHeight="1" x14ac:dyDescent="0.25">
      <c r="A473" s="90" t="s">
        <v>724</v>
      </c>
      <c r="B473" s="94" t="s">
        <v>390</v>
      </c>
      <c r="C473" s="91" t="s">
        <v>730</v>
      </c>
      <c r="D473" s="92">
        <f>196640</f>
        <v>196640</v>
      </c>
      <c r="E473" s="92">
        <f>168142.68+28317.97-2848.79</f>
        <v>193611.86</v>
      </c>
      <c r="F473" s="93">
        <f t="shared" si="30"/>
        <v>3028.140000000014</v>
      </c>
    </row>
    <row r="474" spans="1:6" ht="59.5" customHeight="1" x14ac:dyDescent="0.3">
      <c r="A474" s="89" t="s">
        <v>732</v>
      </c>
      <c r="B474" s="81" t="s">
        <v>390</v>
      </c>
      <c r="C474" s="88" t="s">
        <v>733</v>
      </c>
      <c r="D474" s="83">
        <f>D475+D478</f>
        <v>330000</v>
      </c>
      <c r="E474" s="83">
        <f>E475+E478</f>
        <v>330000</v>
      </c>
      <c r="F474" s="84">
        <f t="shared" si="23"/>
        <v>0</v>
      </c>
    </row>
    <row r="475" spans="1:6" ht="23" hidden="1" x14ac:dyDescent="0.25">
      <c r="A475" s="90" t="s">
        <v>492</v>
      </c>
      <c r="B475" s="94" t="s">
        <v>390</v>
      </c>
      <c r="C475" s="91" t="s">
        <v>734</v>
      </c>
      <c r="D475" s="92">
        <f>D476</f>
        <v>0</v>
      </c>
      <c r="E475" s="92">
        <f>E476</f>
        <v>0</v>
      </c>
      <c r="F475" s="93">
        <f>D475-E475</f>
        <v>0</v>
      </c>
    </row>
    <row r="476" spans="1:6" ht="34.5" hidden="1" x14ac:dyDescent="0.25">
      <c r="A476" s="90" t="s">
        <v>398</v>
      </c>
      <c r="B476" s="94" t="s">
        <v>390</v>
      </c>
      <c r="C476" s="91" t="s">
        <v>735</v>
      </c>
      <c r="D476" s="92">
        <f>D477</f>
        <v>0</v>
      </c>
      <c r="E476" s="92">
        <f>E477</f>
        <v>0</v>
      </c>
      <c r="F476" s="93">
        <f>D476-E476</f>
        <v>0</v>
      </c>
    </row>
    <row r="477" spans="1:6" hidden="1" x14ac:dyDescent="0.25">
      <c r="A477" s="90" t="s">
        <v>400</v>
      </c>
      <c r="B477" s="94" t="s">
        <v>390</v>
      </c>
      <c r="C477" s="91" t="s">
        <v>736</v>
      </c>
      <c r="D477" s="92"/>
      <c r="E477" s="92"/>
      <c r="F477" s="93">
        <f>D477-E477</f>
        <v>0</v>
      </c>
    </row>
    <row r="478" spans="1:6" ht="34.5" x14ac:dyDescent="0.25">
      <c r="A478" s="90" t="s">
        <v>404</v>
      </c>
      <c r="B478" s="94" t="s">
        <v>390</v>
      </c>
      <c r="C478" s="91" t="s">
        <v>737</v>
      </c>
      <c r="D478" s="92">
        <f>D479</f>
        <v>330000</v>
      </c>
      <c r="E478" s="92">
        <f>E479</f>
        <v>330000</v>
      </c>
      <c r="F478" s="93">
        <f t="shared" ref="F478:F544" si="32">D478-E478</f>
        <v>0</v>
      </c>
    </row>
    <row r="479" spans="1:6" ht="57.5" x14ac:dyDescent="0.25">
      <c r="A479" s="90" t="s">
        <v>722</v>
      </c>
      <c r="B479" s="94" t="s">
        <v>390</v>
      </c>
      <c r="C479" s="91" t="s">
        <v>738</v>
      </c>
      <c r="D479" s="92">
        <f>D480</f>
        <v>330000</v>
      </c>
      <c r="E479" s="92">
        <f>E480</f>
        <v>330000</v>
      </c>
      <c r="F479" s="93">
        <f>D479-E479</f>
        <v>0</v>
      </c>
    </row>
    <row r="480" spans="1:6" ht="26.15" customHeight="1" x14ac:dyDescent="0.25">
      <c r="A480" s="90" t="s">
        <v>724</v>
      </c>
      <c r="B480" s="94" t="s">
        <v>390</v>
      </c>
      <c r="C480" s="91" t="s">
        <v>739</v>
      </c>
      <c r="D480" s="92">
        <v>330000</v>
      </c>
      <c r="E480" s="92">
        <v>330000</v>
      </c>
      <c r="F480" s="93">
        <f>D480-E480</f>
        <v>0</v>
      </c>
    </row>
    <row r="481" spans="1:6" ht="81" x14ac:dyDescent="0.3">
      <c r="A481" s="89" t="s">
        <v>740</v>
      </c>
      <c r="B481" s="81" t="s">
        <v>390</v>
      </c>
      <c r="C481" s="88" t="s">
        <v>741</v>
      </c>
      <c r="D481" s="83">
        <f t="shared" ref="D481:E483" si="33">D482</f>
        <v>1000000</v>
      </c>
      <c r="E481" s="83">
        <f t="shared" si="33"/>
        <v>1000000</v>
      </c>
      <c r="F481" s="84">
        <f t="shared" si="32"/>
        <v>0</v>
      </c>
    </row>
    <row r="482" spans="1:6" ht="34.5" x14ac:dyDescent="0.25">
      <c r="A482" s="90" t="s">
        <v>404</v>
      </c>
      <c r="B482" s="94" t="s">
        <v>390</v>
      </c>
      <c r="C482" s="91" t="s">
        <v>742</v>
      </c>
      <c r="D482" s="92">
        <f t="shared" si="33"/>
        <v>1000000</v>
      </c>
      <c r="E482" s="92">
        <f t="shared" si="33"/>
        <v>1000000</v>
      </c>
      <c r="F482" s="93">
        <f>D482-E482</f>
        <v>0</v>
      </c>
    </row>
    <row r="483" spans="1:6" ht="57.5" x14ac:dyDescent="0.25">
      <c r="A483" s="90" t="s">
        <v>722</v>
      </c>
      <c r="B483" s="94" t="s">
        <v>390</v>
      </c>
      <c r="C483" s="91" t="s">
        <v>743</v>
      </c>
      <c r="D483" s="92">
        <f t="shared" si="33"/>
        <v>1000000</v>
      </c>
      <c r="E483" s="92">
        <f t="shared" si="33"/>
        <v>1000000</v>
      </c>
      <c r="F483" s="93">
        <f t="shared" si="32"/>
        <v>0</v>
      </c>
    </row>
    <row r="484" spans="1:6" ht="25.5" customHeight="1" x14ac:dyDescent="0.25">
      <c r="A484" s="90" t="s">
        <v>724</v>
      </c>
      <c r="B484" s="94" t="s">
        <v>390</v>
      </c>
      <c r="C484" s="91" t="s">
        <v>744</v>
      </c>
      <c r="D484" s="92">
        <v>1000000</v>
      </c>
      <c r="E484" s="92">
        <v>1000000</v>
      </c>
      <c r="F484" s="93">
        <f t="shared" si="32"/>
        <v>0</v>
      </c>
    </row>
    <row r="485" spans="1:6" ht="26" x14ac:dyDescent="0.3">
      <c r="A485" s="114" t="s">
        <v>745</v>
      </c>
      <c r="B485" s="81" t="s">
        <v>390</v>
      </c>
      <c r="C485" s="88" t="s">
        <v>746</v>
      </c>
      <c r="D485" s="83">
        <f t="shared" ref="D485:E487" si="34">D486</f>
        <v>2858241.3</v>
      </c>
      <c r="E485" s="83">
        <f t="shared" si="34"/>
        <v>2739984.26</v>
      </c>
      <c r="F485" s="84">
        <f t="shared" si="32"/>
        <v>118257.04000000004</v>
      </c>
    </row>
    <row r="486" spans="1:6" s="44" customFormat="1" ht="69" x14ac:dyDescent="0.3">
      <c r="A486" s="89" t="s">
        <v>747</v>
      </c>
      <c r="B486" s="81" t="s">
        <v>390</v>
      </c>
      <c r="C486" s="88" t="s">
        <v>748</v>
      </c>
      <c r="D486" s="83">
        <f t="shared" si="34"/>
        <v>2858241.3</v>
      </c>
      <c r="E486" s="83">
        <f t="shared" si="34"/>
        <v>2739984.26</v>
      </c>
      <c r="F486" s="84">
        <f t="shared" si="32"/>
        <v>118257.04000000004</v>
      </c>
    </row>
    <row r="487" spans="1:6" s="44" customFormat="1" ht="23" x14ac:dyDescent="0.3">
      <c r="A487" s="90" t="s">
        <v>492</v>
      </c>
      <c r="B487" s="94" t="s">
        <v>390</v>
      </c>
      <c r="C487" s="91" t="s">
        <v>749</v>
      </c>
      <c r="D487" s="92">
        <f t="shared" si="34"/>
        <v>2858241.3</v>
      </c>
      <c r="E487" s="92">
        <f t="shared" si="34"/>
        <v>2739984.26</v>
      </c>
      <c r="F487" s="93">
        <f t="shared" si="32"/>
        <v>118257.04000000004</v>
      </c>
    </row>
    <row r="488" spans="1:6" s="44" customFormat="1" ht="34.5" x14ac:dyDescent="0.3">
      <c r="A488" s="90" t="s">
        <v>398</v>
      </c>
      <c r="B488" s="94" t="s">
        <v>390</v>
      </c>
      <c r="C488" s="91" t="s">
        <v>750</v>
      </c>
      <c r="D488" s="92">
        <f>SUM(D489:D490)</f>
        <v>2858241.3</v>
      </c>
      <c r="E488" s="92">
        <f>SUM(E489:E490)</f>
        <v>2739984.26</v>
      </c>
      <c r="F488" s="93">
        <f t="shared" si="32"/>
        <v>118257.04000000004</v>
      </c>
    </row>
    <row r="489" spans="1:6" ht="34.5" x14ac:dyDescent="0.25">
      <c r="A489" s="90" t="s">
        <v>495</v>
      </c>
      <c r="B489" s="94" t="s">
        <v>390</v>
      </c>
      <c r="C489" s="91" t="s">
        <v>751</v>
      </c>
      <c r="D489" s="92">
        <v>2808241.3</v>
      </c>
      <c r="E489" s="92">
        <v>2703050.26</v>
      </c>
      <c r="F489" s="93">
        <f t="shared" si="32"/>
        <v>105191.04000000004</v>
      </c>
    </row>
    <row r="490" spans="1:6" x14ac:dyDescent="0.25">
      <c r="A490" s="90" t="s">
        <v>400</v>
      </c>
      <c r="B490" s="94" t="s">
        <v>390</v>
      </c>
      <c r="C490" s="91" t="s">
        <v>752</v>
      </c>
      <c r="D490" s="92">
        <v>50000</v>
      </c>
      <c r="E490" s="92">
        <v>36934</v>
      </c>
      <c r="F490" s="93">
        <f t="shared" si="32"/>
        <v>13066</v>
      </c>
    </row>
    <row r="491" spans="1:6" ht="64" customHeight="1" x14ac:dyDescent="0.3">
      <c r="A491" s="114" t="s">
        <v>753</v>
      </c>
      <c r="B491" s="81" t="s">
        <v>390</v>
      </c>
      <c r="C491" s="88" t="s">
        <v>754</v>
      </c>
      <c r="D491" s="83">
        <f>D492+D496+D500+D504</f>
        <v>5651956</v>
      </c>
      <c r="E491" s="83">
        <f>E492+E496+E500+E504</f>
        <v>5386654.4899999993</v>
      </c>
      <c r="F491" s="84">
        <f t="shared" si="32"/>
        <v>265301.51000000071</v>
      </c>
    </row>
    <row r="492" spans="1:6" ht="80.5" x14ac:dyDescent="0.3">
      <c r="A492" s="89" t="s">
        <v>755</v>
      </c>
      <c r="B492" s="108" t="s">
        <v>390</v>
      </c>
      <c r="C492" s="88" t="s">
        <v>756</v>
      </c>
      <c r="D492" s="83">
        <f t="shared" ref="D492:E494" si="35">D493</f>
        <v>318653</v>
      </c>
      <c r="E492" s="83">
        <f t="shared" si="35"/>
        <v>311652.5</v>
      </c>
      <c r="F492" s="84">
        <f t="shared" si="32"/>
        <v>7000.5</v>
      </c>
    </row>
    <row r="493" spans="1:6" ht="23" x14ac:dyDescent="0.25">
      <c r="A493" s="90" t="s">
        <v>492</v>
      </c>
      <c r="B493" s="94" t="s">
        <v>390</v>
      </c>
      <c r="C493" s="91" t="s">
        <v>757</v>
      </c>
      <c r="D493" s="92">
        <f t="shared" si="35"/>
        <v>318653</v>
      </c>
      <c r="E493" s="92">
        <f t="shared" si="35"/>
        <v>311652.5</v>
      </c>
      <c r="F493" s="93">
        <f t="shared" si="32"/>
        <v>7000.5</v>
      </c>
    </row>
    <row r="494" spans="1:6" ht="34.5" x14ac:dyDescent="0.25">
      <c r="A494" s="90" t="s">
        <v>398</v>
      </c>
      <c r="B494" s="94" t="s">
        <v>390</v>
      </c>
      <c r="C494" s="91" t="s">
        <v>758</v>
      </c>
      <c r="D494" s="92">
        <f t="shared" si="35"/>
        <v>318653</v>
      </c>
      <c r="E494" s="92">
        <f t="shared" si="35"/>
        <v>311652.5</v>
      </c>
      <c r="F494" s="93">
        <f t="shared" si="32"/>
        <v>7000.5</v>
      </c>
    </row>
    <row r="495" spans="1:6" x14ac:dyDescent="0.25">
      <c r="A495" s="90" t="s">
        <v>400</v>
      </c>
      <c r="B495" s="94" t="s">
        <v>390</v>
      </c>
      <c r="C495" s="91" t="s">
        <v>759</v>
      </c>
      <c r="D495" s="92">
        <v>318653</v>
      </c>
      <c r="E495" s="92">
        <v>311652.5</v>
      </c>
      <c r="F495" s="93">
        <f t="shared" si="32"/>
        <v>7000.5</v>
      </c>
    </row>
    <row r="496" spans="1:6" ht="83.15" customHeight="1" x14ac:dyDescent="0.3">
      <c r="A496" s="89" t="s">
        <v>760</v>
      </c>
      <c r="B496" s="81" t="s">
        <v>390</v>
      </c>
      <c r="C496" s="88" t="s">
        <v>761</v>
      </c>
      <c r="D496" s="83">
        <f t="shared" ref="D496:E498" si="36">D497</f>
        <v>91520</v>
      </c>
      <c r="E496" s="83">
        <f t="shared" si="36"/>
        <v>91519.2</v>
      </c>
      <c r="F496" s="84">
        <f t="shared" si="32"/>
        <v>0.80000000000291038</v>
      </c>
    </row>
    <row r="497" spans="1:6" ht="23" x14ac:dyDescent="0.25">
      <c r="A497" s="90" t="s">
        <v>492</v>
      </c>
      <c r="B497" s="94" t="s">
        <v>390</v>
      </c>
      <c r="C497" s="91" t="s">
        <v>762</v>
      </c>
      <c r="D497" s="92">
        <f t="shared" si="36"/>
        <v>91520</v>
      </c>
      <c r="E497" s="92">
        <f t="shared" si="36"/>
        <v>91519.2</v>
      </c>
      <c r="F497" s="93">
        <f t="shared" si="32"/>
        <v>0.80000000000291038</v>
      </c>
    </row>
    <row r="498" spans="1:6" ht="34.5" x14ac:dyDescent="0.25">
      <c r="A498" s="90" t="s">
        <v>398</v>
      </c>
      <c r="B498" s="94" t="s">
        <v>390</v>
      </c>
      <c r="C498" s="91" t="s">
        <v>763</v>
      </c>
      <c r="D498" s="92">
        <f t="shared" si="36"/>
        <v>91520</v>
      </c>
      <c r="E498" s="92">
        <f t="shared" si="36"/>
        <v>91519.2</v>
      </c>
      <c r="F498" s="93">
        <f t="shared" si="32"/>
        <v>0.80000000000291038</v>
      </c>
    </row>
    <row r="499" spans="1:6" x14ac:dyDescent="0.25">
      <c r="A499" s="90" t="s">
        <v>400</v>
      </c>
      <c r="B499" s="94" t="s">
        <v>390</v>
      </c>
      <c r="C499" s="91" t="s">
        <v>764</v>
      </c>
      <c r="D499" s="92">
        <v>91520</v>
      </c>
      <c r="E499" s="92">
        <v>91519.2</v>
      </c>
      <c r="F499" s="93">
        <f t="shared" si="32"/>
        <v>0.80000000000291038</v>
      </c>
    </row>
    <row r="500" spans="1:6" s="44" customFormat="1" ht="69" x14ac:dyDescent="0.3">
      <c r="A500" s="89" t="s">
        <v>765</v>
      </c>
      <c r="B500" s="108" t="s">
        <v>390</v>
      </c>
      <c r="C500" s="88" t="s">
        <v>766</v>
      </c>
      <c r="D500" s="83">
        <f t="shared" ref="D500:E505" si="37">D501</f>
        <v>130000</v>
      </c>
      <c r="E500" s="83">
        <f t="shared" si="37"/>
        <v>130000</v>
      </c>
      <c r="F500" s="84">
        <f t="shared" si="32"/>
        <v>0</v>
      </c>
    </row>
    <row r="501" spans="1:6" ht="23" x14ac:dyDescent="0.25">
      <c r="A501" s="90" t="s">
        <v>492</v>
      </c>
      <c r="B501" s="94" t="s">
        <v>390</v>
      </c>
      <c r="C501" s="91" t="s">
        <v>767</v>
      </c>
      <c r="D501" s="92">
        <f t="shared" si="37"/>
        <v>130000</v>
      </c>
      <c r="E501" s="92">
        <f t="shared" si="37"/>
        <v>130000</v>
      </c>
      <c r="F501" s="93">
        <f t="shared" si="32"/>
        <v>0</v>
      </c>
    </row>
    <row r="502" spans="1:6" ht="34.5" x14ac:dyDescent="0.25">
      <c r="A502" s="90" t="s">
        <v>398</v>
      </c>
      <c r="B502" s="94" t="s">
        <v>390</v>
      </c>
      <c r="C502" s="91" t="s">
        <v>768</v>
      </c>
      <c r="D502" s="92">
        <f t="shared" si="37"/>
        <v>130000</v>
      </c>
      <c r="E502" s="92">
        <f t="shared" si="37"/>
        <v>130000</v>
      </c>
      <c r="F502" s="93">
        <f t="shared" si="32"/>
        <v>0</v>
      </c>
    </row>
    <row r="503" spans="1:6" s="44" customFormat="1" ht="13" x14ac:dyDescent="0.3">
      <c r="A503" s="90" t="s">
        <v>400</v>
      </c>
      <c r="B503" s="95" t="s">
        <v>390</v>
      </c>
      <c r="C503" s="91" t="s">
        <v>769</v>
      </c>
      <c r="D503" s="92">
        <v>130000</v>
      </c>
      <c r="E503" s="92">
        <v>130000</v>
      </c>
      <c r="F503" s="93">
        <f t="shared" si="32"/>
        <v>0</v>
      </c>
    </row>
    <row r="504" spans="1:6" s="44" customFormat="1" ht="57.5" x14ac:dyDescent="0.3">
      <c r="A504" s="89" t="s">
        <v>770</v>
      </c>
      <c r="B504" s="108" t="s">
        <v>390</v>
      </c>
      <c r="C504" s="88" t="s">
        <v>771</v>
      </c>
      <c r="D504" s="83">
        <f>D505+D510</f>
        <v>5111783</v>
      </c>
      <c r="E504" s="83">
        <f>E505+E510</f>
        <v>4853482.7899999991</v>
      </c>
      <c r="F504" s="84">
        <f t="shared" si="32"/>
        <v>258300.21000000089</v>
      </c>
    </row>
    <row r="505" spans="1:6" s="44" customFormat="1" ht="23" x14ac:dyDescent="0.3">
      <c r="A505" s="90" t="s">
        <v>492</v>
      </c>
      <c r="B505" s="94" t="s">
        <v>390</v>
      </c>
      <c r="C505" s="91" t="s">
        <v>772</v>
      </c>
      <c r="D505" s="92">
        <f t="shared" si="37"/>
        <v>2790560</v>
      </c>
      <c r="E505" s="92">
        <f t="shared" si="37"/>
        <v>2532260.4799999995</v>
      </c>
      <c r="F505" s="93">
        <f t="shared" si="32"/>
        <v>258299.52000000048</v>
      </c>
    </row>
    <row r="506" spans="1:6" s="44" customFormat="1" ht="34.5" x14ac:dyDescent="0.3">
      <c r="A506" s="90" t="s">
        <v>398</v>
      </c>
      <c r="B506" s="94" t="s">
        <v>390</v>
      </c>
      <c r="C506" s="91" t="s">
        <v>773</v>
      </c>
      <c r="D506" s="92">
        <f>SUM(D507:D509)</f>
        <v>2790560</v>
      </c>
      <c r="E506" s="92">
        <f>SUM(E507:E509)</f>
        <v>2532260.4799999995</v>
      </c>
      <c r="F506" s="93">
        <f t="shared" si="32"/>
        <v>258299.52000000048</v>
      </c>
    </row>
    <row r="507" spans="1:6" s="44" customFormat="1" ht="34.5" x14ac:dyDescent="0.3">
      <c r="A507" s="90" t="s">
        <v>495</v>
      </c>
      <c r="B507" s="95" t="s">
        <v>390</v>
      </c>
      <c r="C507" s="91" t="s">
        <v>774</v>
      </c>
      <c r="D507" s="92">
        <v>4036.4</v>
      </c>
      <c r="E507" s="92">
        <v>4036.19</v>
      </c>
      <c r="F507" s="93">
        <f t="shared" si="32"/>
        <v>0.21000000000003638</v>
      </c>
    </row>
    <row r="508" spans="1:6" s="44" customFormat="1" ht="13" x14ac:dyDescent="0.3">
      <c r="A508" s="90" t="s">
        <v>400</v>
      </c>
      <c r="B508" s="95" t="s">
        <v>390</v>
      </c>
      <c r="C508" s="91" t="s">
        <v>775</v>
      </c>
      <c r="D508" s="92">
        <v>1531800.72</v>
      </c>
      <c r="E508" s="92">
        <v>1284145.6599999999</v>
      </c>
      <c r="F508" s="93">
        <f t="shared" si="32"/>
        <v>247655.06000000006</v>
      </c>
    </row>
    <row r="509" spans="1:6" s="44" customFormat="1" ht="13" x14ac:dyDescent="0.3">
      <c r="A509" s="90" t="s">
        <v>498</v>
      </c>
      <c r="B509" s="95" t="s">
        <v>390</v>
      </c>
      <c r="C509" s="91" t="s">
        <v>776</v>
      </c>
      <c r="D509" s="92">
        <v>1254722.8799999999</v>
      </c>
      <c r="E509" s="92">
        <v>1244078.6299999999</v>
      </c>
      <c r="F509" s="93">
        <f t="shared" si="32"/>
        <v>10644.25</v>
      </c>
    </row>
    <row r="510" spans="1:6" s="44" customFormat="1" ht="13" x14ac:dyDescent="0.3">
      <c r="A510" s="90" t="s">
        <v>500</v>
      </c>
      <c r="B510" s="94" t="s">
        <v>390</v>
      </c>
      <c r="C510" s="91" t="s">
        <v>777</v>
      </c>
      <c r="D510" s="92">
        <f>D511+D513</f>
        <v>2321223</v>
      </c>
      <c r="E510" s="92">
        <f>E511+E513</f>
        <v>2321222.31</v>
      </c>
      <c r="F510" s="93">
        <f>D510-E510</f>
        <v>0.68999999994412065</v>
      </c>
    </row>
    <row r="511" spans="1:6" s="44" customFormat="1" ht="13" x14ac:dyDescent="0.3">
      <c r="A511" s="90" t="s">
        <v>778</v>
      </c>
      <c r="B511" s="94" t="s">
        <v>390</v>
      </c>
      <c r="C511" s="91" t="s">
        <v>779</v>
      </c>
      <c r="D511" s="92">
        <f>SUM(D512:D512)</f>
        <v>2320783</v>
      </c>
      <c r="E511" s="92">
        <f>SUM(E512:E512)</f>
        <v>2320782.31</v>
      </c>
      <c r="F511" s="93">
        <f>D511-E511</f>
        <v>0.68999999994412065</v>
      </c>
    </row>
    <row r="512" spans="1:6" s="44" customFormat="1" ht="107.15" customHeight="1" x14ac:dyDescent="0.3">
      <c r="A512" s="90" t="s">
        <v>780</v>
      </c>
      <c r="B512" s="95" t="s">
        <v>390</v>
      </c>
      <c r="C512" s="91" t="s">
        <v>781</v>
      </c>
      <c r="D512" s="92">
        <v>2320783</v>
      </c>
      <c r="E512" s="92">
        <v>2320782.31</v>
      </c>
      <c r="F512" s="93">
        <f>D512-E512</f>
        <v>0.68999999994412065</v>
      </c>
    </row>
    <row r="513" spans="1:6" s="44" customFormat="1" ht="13" x14ac:dyDescent="0.3">
      <c r="A513" s="90" t="s">
        <v>502</v>
      </c>
      <c r="B513" s="94" t="s">
        <v>390</v>
      </c>
      <c r="C513" s="91" t="s">
        <v>782</v>
      </c>
      <c r="D513" s="92">
        <f>SUM(D514:D514)</f>
        <v>440</v>
      </c>
      <c r="E513" s="92">
        <f>SUM(E514:E514)</f>
        <v>440</v>
      </c>
      <c r="F513" s="93">
        <f>D513-E513</f>
        <v>0</v>
      </c>
    </row>
    <row r="514" spans="1:6" s="44" customFormat="1" ht="13" x14ac:dyDescent="0.3">
      <c r="A514" s="90" t="s">
        <v>508</v>
      </c>
      <c r="B514" s="95" t="s">
        <v>390</v>
      </c>
      <c r="C514" s="91" t="s">
        <v>783</v>
      </c>
      <c r="D514" s="92">
        <v>440</v>
      </c>
      <c r="E514" s="92">
        <v>440</v>
      </c>
      <c r="F514" s="93">
        <f>D514-E514</f>
        <v>0</v>
      </c>
    </row>
    <row r="515" spans="1:6" ht="26" x14ac:dyDescent="0.3">
      <c r="A515" s="87" t="s">
        <v>784</v>
      </c>
      <c r="B515" s="81" t="s">
        <v>390</v>
      </c>
      <c r="C515" s="88" t="s">
        <v>785</v>
      </c>
      <c r="D515" s="83">
        <f>D516+D523</f>
        <v>2990827.41</v>
      </c>
      <c r="E515" s="83">
        <f>E516+E523</f>
        <v>2777385.94</v>
      </c>
      <c r="F515" s="84">
        <f t="shared" si="32"/>
        <v>213441.4700000002</v>
      </c>
    </row>
    <row r="516" spans="1:6" ht="34.5" x14ac:dyDescent="0.3">
      <c r="A516" s="89" t="s">
        <v>786</v>
      </c>
      <c r="B516" s="81" t="s">
        <v>390</v>
      </c>
      <c r="C516" s="88" t="s">
        <v>787</v>
      </c>
      <c r="D516" s="83">
        <f>D517+D520</f>
        <v>2085277.2</v>
      </c>
      <c r="E516" s="83">
        <f>E517+E520</f>
        <v>1871836.63</v>
      </c>
      <c r="F516" s="84">
        <f t="shared" si="32"/>
        <v>213440.57000000007</v>
      </c>
    </row>
    <row r="517" spans="1:6" ht="23" x14ac:dyDescent="0.25">
      <c r="A517" s="90" t="s">
        <v>492</v>
      </c>
      <c r="B517" s="94" t="s">
        <v>390</v>
      </c>
      <c r="C517" s="91" t="s">
        <v>788</v>
      </c>
      <c r="D517" s="92">
        <f>D518</f>
        <v>1917317.2</v>
      </c>
      <c r="E517" s="92">
        <f>E518</f>
        <v>1734196.63</v>
      </c>
      <c r="F517" s="93">
        <f t="shared" si="32"/>
        <v>183120.57000000007</v>
      </c>
    </row>
    <row r="518" spans="1:6" ht="34.5" x14ac:dyDescent="0.25">
      <c r="A518" s="90" t="s">
        <v>398</v>
      </c>
      <c r="B518" s="94" t="s">
        <v>390</v>
      </c>
      <c r="C518" s="91" t="s">
        <v>789</v>
      </c>
      <c r="D518" s="92">
        <f>D519</f>
        <v>1917317.2</v>
      </c>
      <c r="E518" s="92">
        <f>E519</f>
        <v>1734196.63</v>
      </c>
      <c r="F518" s="93">
        <f t="shared" si="32"/>
        <v>183120.57000000007</v>
      </c>
    </row>
    <row r="519" spans="1:6" x14ac:dyDescent="0.25">
      <c r="A519" s="90" t="s">
        <v>400</v>
      </c>
      <c r="B519" s="94" t="s">
        <v>390</v>
      </c>
      <c r="C519" s="91" t="s">
        <v>790</v>
      </c>
      <c r="D519" s="92">
        <v>1917317.2</v>
      </c>
      <c r="E519" s="92">
        <v>1734196.63</v>
      </c>
      <c r="F519" s="93">
        <f t="shared" si="32"/>
        <v>183120.57000000007</v>
      </c>
    </row>
    <row r="520" spans="1:6" ht="23" x14ac:dyDescent="0.25">
      <c r="A520" s="90" t="s">
        <v>791</v>
      </c>
      <c r="B520" s="94" t="s">
        <v>390</v>
      </c>
      <c r="C520" s="91" t="s">
        <v>792</v>
      </c>
      <c r="D520" s="92">
        <f>SUM(D521:D522)</f>
        <v>167960</v>
      </c>
      <c r="E520" s="92">
        <f>SUM(E521:E522)</f>
        <v>137640</v>
      </c>
      <c r="F520" s="93">
        <f>D520-E520</f>
        <v>30320</v>
      </c>
    </row>
    <row r="521" spans="1:6" ht="23" x14ac:dyDescent="0.25">
      <c r="A521" s="90" t="s">
        <v>793</v>
      </c>
      <c r="B521" s="94" t="s">
        <v>390</v>
      </c>
      <c r="C521" s="91" t="s">
        <v>794</v>
      </c>
      <c r="D521" s="92">
        <v>164960</v>
      </c>
      <c r="E521" s="92">
        <v>134640</v>
      </c>
      <c r="F521" s="93">
        <f>D521-E521</f>
        <v>30320</v>
      </c>
    </row>
    <row r="522" spans="1:6" ht="17.5" customHeight="1" x14ac:dyDescent="0.25">
      <c r="A522" s="90" t="s">
        <v>719</v>
      </c>
      <c r="B522" s="94" t="s">
        <v>390</v>
      </c>
      <c r="C522" s="91" t="s">
        <v>795</v>
      </c>
      <c r="D522" s="92">
        <v>3000</v>
      </c>
      <c r="E522" s="92">
        <v>3000</v>
      </c>
      <c r="F522" s="93">
        <f>D522-E522</f>
        <v>0</v>
      </c>
    </row>
    <row r="523" spans="1:6" ht="26" x14ac:dyDescent="0.3">
      <c r="A523" s="87" t="s">
        <v>796</v>
      </c>
      <c r="B523" s="81" t="s">
        <v>390</v>
      </c>
      <c r="C523" s="88" t="s">
        <v>797</v>
      </c>
      <c r="D523" s="83">
        <f>D524</f>
        <v>905550.21</v>
      </c>
      <c r="E523" s="83">
        <f>E524</f>
        <v>905549.31</v>
      </c>
      <c r="F523" s="84">
        <f t="shared" si="32"/>
        <v>0.89999999990686774</v>
      </c>
    </row>
    <row r="524" spans="1:6" x14ac:dyDescent="0.25">
      <c r="A524" s="90" t="s">
        <v>500</v>
      </c>
      <c r="B524" s="94" t="s">
        <v>390</v>
      </c>
      <c r="C524" s="91" t="s">
        <v>798</v>
      </c>
      <c r="D524" s="92">
        <f>D525+D527</f>
        <v>905550.21</v>
      </c>
      <c r="E524" s="92">
        <f>E525+E527</f>
        <v>905549.31</v>
      </c>
      <c r="F524" s="93">
        <f t="shared" si="32"/>
        <v>0.89999999990686774</v>
      </c>
    </row>
    <row r="525" spans="1:6" x14ac:dyDescent="0.25">
      <c r="A525" s="90" t="s">
        <v>778</v>
      </c>
      <c r="B525" s="94" t="s">
        <v>390</v>
      </c>
      <c r="C525" s="91" t="s">
        <v>799</v>
      </c>
      <c r="D525" s="92">
        <f>D526</f>
        <v>198802.7</v>
      </c>
      <c r="E525" s="92">
        <f>E526</f>
        <v>198802.7</v>
      </c>
      <c r="F525" s="93">
        <f t="shared" si="32"/>
        <v>0</v>
      </c>
    </row>
    <row r="526" spans="1:6" ht="108.65" customHeight="1" x14ac:dyDescent="0.25">
      <c r="A526" s="90" t="s">
        <v>780</v>
      </c>
      <c r="B526" s="94" t="s">
        <v>390</v>
      </c>
      <c r="C526" s="91" t="s">
        <v>800</v>
      </c>
      <c r="D526" s="92">
        <v>198802.7</v>
      </c>
      <c r="E526" s="92">
        <v>198802.7</v>
      </c>
      <c r="F526" s="93">
        <f t="shared" si="32"/>
        <v>0</v>
      </c>
    </row>
    <row r="527" spans="1:6" x14ac:dyDescent="0.25">
      <c r="A527" s="90" t="s">
        <v>502</v>
      </c>
      <c r="B527" s="94" t="s">
        <v>390</v>
      </c>
      <c r="C527" s="91" t="s">
        <v>801</v>
      </c>
      <c r="D527" s="92">
        <f>SUM(D528:D530)</f>
        <v>706747.51</v>
      </c>
      <c r="E527" s="92">
        <f>SUM(E528:E530)</f>
        <v>706746.61</v>
      </c>
      <c r="F527" s="93">
        <f t="shared" si="32"/>
        <v>0.90000000002328306</v>
      </c>
    </row>
    <row r="528" spans="1:6" ht="23" x14ac:dyDescent="0.25">
      <c r="A528" s="90" t="s">
        <v>504</v>
      </c>
      <c r="B528" s="94" t="s">
        <v>390</v>
      </c>
      <c r="C528" s="91" t="s">
        <v>802</v>
      </c>
      <c r="D528" s="92">
        <v>71756</v>
      </c>
      <c r="E528" s="92">
        <v>71756</v>
      </c>
      <c r="F528" s="93">
        <f t="shared" si="32"/>
        <v>0</v>
      </c>
    </row>
    <row r="529" spans="1:81" s="67" customFormat="1" x14ac:dyDescent="0.25">
      <c r="A529" s="90" t="s">
        <v>506</v>
      </c>
      <c r="B529" s="94" t="s">
        <v>390</v>
      </c>
      <c r="C529" s="91" t="s">
        <v>803</v>
      </c>
      <c r="D529" s="92">
        <v>207419</v>
      </c>
      <c r="E529" s="92">
        <v>207419</v>
      </c>
      <c r="F529" s="93">
        <f t="shared" si="32"/>
        <v>0</v>
      </c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</row>
    <row r="530" spans="1:81" s="67" customFormat="1" x14ac:dyDescent="0.25">
      <c r="A530" s="90" t="s">
        <v>508</v>
      </c>
      <c r="B530" s="95" t="s">
        <v>390</v>
      </c>
      <c r="C530" s="91" t="s">
        <v>804</v>
      </c>
      <c r="D530" s="92">
        <v>427572.51</v>
      </c>
      <c r="E530" s="92">
        <v>427571.61</v>
      </c>
      <c r="F530" s="93">
        <f t="shared" si="32"/>
        <v>0.90000000002328306</v>
      </c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</row>
    <row r="531" spans="1:81" ht="26" x14ac:dyDescent="0.3">
      <c r="A531" s="87" t="s">
        <v>669</v>
      </c>
      <c r="B531" s="81" t="s">
        <v>390</v>
      </c>
      <c r="C531" s="88" t="s">
        <v>805</v>
      </c>
      <c r="D531" s="83">
        <f>D532</f>
        <v>85045</v>
      </c>
      <c r="E531" s="83">
        <f>E532</f>
        <v>85045</v>
      </c>
      <c r="F531" s="84">
        <f t="shared" si="32"/>
        <v>0</v>
      </c>
    </row>
    <row r="532" spans="1:81" ht="23" x14ac:dyDescent="0.3">
      <c r="A532" s="90" t="s">
        <v>791</v>
      </c>
      <c r="B532" s="94" t="s">
        <v>390</v>
      </c>
      <c r="C532" s="91" t="s">
        <v>806</v>
      </c>
      <c r="D532" s="92">
        <f>D533</f>
        <v>85045</v>
      </c>
      <c r="E532" s="92">
        <f>E533</f>
        <v>85045</v>
      </c>
      <c r="F532" s="84">
        <f t="shared" si="32"/>
        <v>0</v>
      </c>
    </row>
    <row r="533" spans="1:81" ht="23" x14ac:dyDescent="0.25">
      <c r="A533" s="90" t="s">
        <v>793</v>
      </c>
      <c r="B533" s="94" t="s">
        <v>390</v>
      </c>
      <c r="C533" s="91" t="s">
        <v>807</v>
      </c>
      <c r="D533" s="92">
        <v>85045</v>
      </c>
      <c r="E533" s="92">
        <v>85045</v>
      </c>
      <c r="F533" s="93">
        <f t="shared" si="32"/>
        <v>0</v>
      </c>
    </row>
    <row r="534" spans="1:81" s="44" customFormat="1" ht="34.5" x14ac:dyDescent="0.3">
      <c r="A534" s="89" t="s">
        <v>808</v>
      </c>
      <c r="B534" s="81" t="s">
        <v>390</v>
      </c>
      <c r="C534" s="107" t="s">
        <v>809</v>
      </c>
      <c r="D534" s="83">
        <f>D535+D541+D592</f>
        <v>5765680</v>
      </c>
      <c r="E534" s="83">
        <f>E535+E541+E592</f>
        <v>5716333</v>
      </c>
      <c r="F534" s="84">
        <f t="shared" si="32"/>
        <v>49347</v>
      </c>
    </row>
    <row r="535" spans="1:81" s="44" customFormat="1" ht="13" x14ac:dyDescent="0.3">
      <c r="A535" s="89" t="s">
        <v>810</v>
      </c>
      <c r="B535" s="81" t="s">
        <v>390</v>
      </c>
      <c r="C535" s="107" t="s">
        <v>811</v>
      </c>
      <c r="D535" s="83">
        <f>D536</f>
        <v>110000</v>
      </c>
      <c r="E535" s="83">
        <f>E536</f>
        <v>103499</v>
      </c>
      <c r="F535" s="84">
        <f t="shared" si="32"/>
        <v>6501</v>
      </c>
    </row>
    <row r="536" spans="1:81" s="44" customFormat="1" ht="26" x14ac:dyDescent="0.3">
      <c r="A536" s="116" t="s">
        <v>812</v>
      </c>
      <c r="B536" s="81" t="s">
        <v>390</v>
      </c>
      <c r="C536" s="88" t="s">
        <v>813</v>
      </c>
      <c r="D536" s="83">
        <f>D538</f>
        <v>110000</v>
      </c>
      <c r="E536" s="83">
        <f>E538</f>
        <v>103499</v>
      </c>
      <c r="F536" s="84">
        <f t="shared" si="32"/>
        <v>6501</v>
      </c>
    </row>
    <row r="537" spans="1:81" s="44" customFormat="1" ht="69" x14ac:dyDescent="0.3">
      <c r="A537" s="117" t="s">
        <v>814</v>
      </c>
      <c r="B537" s="81" t="s">
        <v>390</v>
      </c>
      <c r="C537" s="88" t="s">
        <v>815</v>
      </c>
      <c r="D537" s="83">
        <f t="shared" ref="D537:E539" si="38">D538</f>
        <v>110000</v>
      </c>
      <c r="E537" s="83">
        <f t="shared" si="38"/>
        <v>103499</v>
      </c>
      <c r="F537" s="84">
        <f t="shared" si="32"/>
        <v>6501</v>
      </c>
    </row>
    <row r="538" spans="1:81" s="44" customFormat="1" ht="23" x14ac:dyDescent="0.3">
      <c r="A538" s="90" t="s">
        <v>492</v>
      </c>
      <c r="B538" s="94" t="s">
        <v>390</v>
      </c>
      <c r="C538" s="91" t="s">
        <v>816</v>
      </c>
      <c r="D538" s="92">
        <f t="shared" si="38"/>
        <v>110000</v>
      </c>
      <c r="E538" s="92">
        <f t="shared" si="38"/>
        <v>103499</v>
      </c>
      <c r="F538" s="93">
        <f t="shared" si="32"/>
        <v>6501</v>
      </c>
    </row>
    <row r="539" spans="1:81" s="44" customFormat="1" ht="34.5" x14ac:dyDescent="0.3">
      <c r="A539" s="90" t="s">
        <v>398</v>
      </c>
      <c r="B539" s="94" t="s">
        <v>390</v>
      </c>
      <c r="C539" s="91" t="s">
        <v>817</v>
      </c>
      <c r="D539" s="92">
        <f t="shared" si="38"/>
        <v>110000</v>
      </c>
      <c r="E539" s="92">
        <f t="shared" si="38"/>
        <v>103499</v>
      </c>
      <c r="F539" s="93">
        <f t="shared" si="32"/>
        <v>6501</v>
      </c>
    </row>
    <row r="540" spans="1:81" s="44" customFormat="1" ht="13" x14ac:dyDescent="0.3">
      <c r="A540" s="90" t="s">
        <v>400</v>
      </c>
      <c r="B540" s="94" t="s">
        <v>390</v>
      </c>
      <c r="C540" s="91" t="s">
        <v>818</v>
      </c>
      <c r="D540" s="92">
        <v>110000</v>
      </c>
      <c r="E540" s="92">
        <v>103499</v>
      </c>
      <c r="F540" s="93">
        <f t="shared" si="32"/>
        <v>6501</v>
      </c>
    </row>
    <row r="541" spans="1:81" ht="46" x14ac:dyDescent="0.3">
      <c r="A541" s="89" t="s">
        <v>819</v>
      </c>
      <c r="B541" s="81" t="s">
        <v>390</v>
      </c>
      <c r="C541" s="107" t="s">
        <v>820</v>
      </c>
      <c r="D541" s="83">
        <f>D542+D581+D589+D585</f>
        <v>4030501</v>
      </c>
      <c r="E541" s="83">
        <f>E542+E581+E589+E585</f>
        <v>4017027.27</v>
      </c>
      <c r="F541" s="84">
        <f t="shared" si="32"/>
        <v>13473.729999999981</v>
      </c>
    </row>
    <row r="542" spans="1:81" ht="104" x14ac:dyDescent="0.3">
      <c r="A542" s="116" t="s">
        <v>1364</v>
      </c>
      <c r="B542" s="81" t="s">
        <v>390</v>
      </c>
      <c r="C542" s="88" t="s">
        <v>821</v>
      </c>
      <c r="D542" s="83">
        <f>D543+D547+D551+D564+D568</f>
        <v>2256086</v>
      </c>
      <c r="E542" s="83">
        <f>E543+E547+E551+E564+E568</f>
        <v>2242612.27</v>
      </c>
      <c r="F542" s="84">
        <f t="shared" si="32"/>
        <v>13473.729999999981</v>
      </c>
    </row>
    <row r="543" spans="1:81" ht="115" x14ac:dyDescent="0.3">
      <c r="A543" s="117" t="s">
        <v>1365</v>
      </c>
      <c r="B543" s="81" t="s">
        <v>390</v>
      </c>
      <c r="C543" s="88" t="s">
        <v>822</v>
      </c>
      <c r="D543" s="83">
        <f t="shared" ref="D543:E545" si="39">D544</f>
        <v>483000</v>
      </c>
      <c r="E543" s="83">
        <f t="shared" si="39"/>
        <v>482280.82</v>
      </c>
      <c r="F543" s="84">
        <f t="shared" si="32"/>
        <v>719.17999999999302</v>
      </c>
    </row>
    <row r="544" spans="1:81" ht="23" x14ac:dyDescent="0.3">
      <c r="A544" s="118" t="s">
        <v>492</v>
      </c>
      <c r="B544" s="81" t="s">
        <v>390</v>
      </c>
      <c r="C544" s="91" t="s">
        <v>823</v>
      </c>
      <c r="D544" s="83">
        <f t="shared" si="39"/>
        <v>483000</v>
      </c>
      <c r="E544" s="83">
        <f t="shared" si="39"/>
        <v>482280.82</v>
      </c>
      <c r="F544" s="84">
        <f t="shared" si="32"/>
        <v>719.17999999999302</v>
      </c>
    </row>
    <row r="545" spans="1:6" ht="34.5" x14ac:dyDescent="0.25">
      <c r="A545" s="118" t="s">
        <v>398</v>
      </c>
      <c r="B545" s="94" t="s">
        <v>390</v>
      </c>
      <c r="C545" s="91" t="s">
        <v>824</v>
      </c>
      <c r="D545" s="92">
        <f t="shared" si="39"/>
        <v>483000</v>
      </c>
      <c r="E545" s="92">
        <f t="shared" si="39"/>
        <v>482280.82</v>
      </c>
      <c r="F545" s="93">
        <f t="shared" ref="F545:F554" si="40">D545-E545</f>
        <v>719.17999999999302</v>
      </c>
    </row>
    <row r="546" spans="1:6" x14ac:dyDescent="0.25">
      <c r="A546" s="90" t="s">
        <v>400</v>
      </c>
      <c r="B546" s="94" t="s">
        <v>390</v>
      </c>
      <c r="C546" s="91" t="s">
        <v>825</v>
      </c>
      <c r="D546" s="92">
        <v>483000</v>
      </c>
      <c r="E546" s="92">
        <v>482280.82</v>
      </c>
      <c r="F546" s="93">
        <f t="shared" si="40"/>
        <v>719.17999999999302</v>
      </c>
    </row>
    <row r="547" spans="1:6" ht="103.5" x14ac:dyDescent="0.3">
      <c r="A547" s="89" t="s">
        <v>826</v>
      </c>
      <c r="B547" s="81" t="s">
        <v>390</v>
      </c>
      <c r="C547" s="88" t="s">
        <v>827</v>
      </c>
      <c r="D547" s="83">
        <f>D548</f>
        <v>1158451.1599999999</v>
      </c>
      <c r="E547" s="83">
        <f>E548</f>
        <v>1148908.5</v>
      </c>
      <c r="F547" s="84">
        <f t="shared" si="40"/>
        <v>9542.6599999999162</v>
      </c>
    </row>
    <row r="548" spans="1:6" ht="23" x14ac:dyDescent="0.25">
      <c r="A548" s="90" t="s">
        <v>492</v>
      </c>
      <c r="B548" s="94" t="s">
        <v>390</v>
      </c>
      <c r="C548" s="91" t="s">
        <v>828</v>
      </c>
      <c r="D548" s="92">
        <f>D549</f>
        <v>1158451.1599999999</v>
      </c>
      <c r="E548" s="92">
        <f>E549</f>
        <v>1148908.5</v>
      </c>
      <c r="F548" s="93">
        <f t="shared" si="40"/>
        <v>9542.6599999999162</v>
      </c>
    </row>
    <row r="549" spans="1:6" ht="34.5" x14ac:dyDescent="0.25">
      <c r="A549" s="90" t="s">
        <v>398</v>
      </c>
      <c r="B549" s="94" t="s">
        <v>390</v>
      </c>
      <c r="C549" s="91" t="s">
        <v>829</v>
      </c>
      <c r="D549" s="92">
        <f>SUM(D550:D550)</f>
        <v>1158451.1599999999</v>
      </c>
      <c r="E549" s="92">
        <f>SUM(E550:E550)</f>
        <v>1148908.5</v>
      </c>
      <c r="F549" s="93">
        <f t="shared" si="40"/>
        <v>9542.6599999999162</v>
      </c>
    </row>
    <row r="550" spans="1:6" x14ac:dyDescent="0.25">
      <c r="A550" s="90" t="s">
        <v>400</v>
      </c>
      <c r="B550" s="94" t="s">
        <v>390</v>
      </c>
      <c r="C550" s="91" t="s">
        <v>830</v>
      </c>
      <c r="D550" s="92">
        <v>1158451.1599999999</v>
      </c>
      <c r="E550" s="92">
        <v>1148908.5</v>
      </c>
      <c r="F550" s="93">
        <f t="shared" si="40"/>
        <v>9542.6599999999162</v>
      </c>
    </row>
    <row r="551" spans="1:6" ht="115" x14ac:dyDescent="0.3">
      <c r="A551" s="89" t="s">
        <v>831</v>
      </c>
      <c r="B551" s="81" t="s">
        <v>390</v>
      </c>
      <c r="C551" s="88" t="s">
        <v>832</v>
      </c>
      <c r="D551" s="83">
        <f t="shared" ref="D551:E562" si="41">D552</f>
        <v>61348.84</v>
      </c>
      <c r="E551" s="83">
        <f t="shared" si="41"/>
        <v>59698.36</v>
      </c>
      <c r="F551" s="84">
        <f t="shared" si="40"/>
        <v>1650.4799999999959</v>
      </c>
    </row>
    <row r="552" spans="1:6" ht="23" x14ac:dyDescent="0.25">
      <c r="A552" s="119" t="s">
        <v>492</v>
      </c>
      <c r="B552" s="94" t="s">
        <v>390</v>
      </c>
      <c r="C552" s="91" t="s">
        <v>833</v>
      </c>
      <c r="D552" s="92">
        <f t="shared" si="41"/>
        <v>61348.84</v>
      </c>
      <c r="E552" s="92">
        <f t="shared" si="41"/>
        <v>59698.36</v>
      </c>
      <c r="F552" s="93">
        <f t="shared" si="40"/>
        <v>1650.4799999999959</v>
      </c>
    </row>
    <row r="553" spans="1:6" ht="34.5" x14ac:dyDescent="0.25">
      <c r="A553" s="90" t="s">
        <v>398</v>
      </c>
      <c r="B553" s="94" t="s">
        <v>390</v>
      </c>
      <c r="C553" s="91" t="s">
        <v>834</v>
      </c>
      <c r="D553" s="92">
        <f t="shared" si="41"/>
        <v>61348.84</v>
      </c>
      <c r="E553" s="92">
        <f t="shared" si="41"/>
        <v>59698.36</v>
      </c>
      <c r="F553" s="93">
        <f t="shared" si="40"/>
        <v>1650.4799999999959</v>
      </c>
    </row>
    <row r="554" spans="1:6" x14ac:dyDescent="0.25">
      <c r="A554" s="90" t="s">
        <v>400</v>
      </c>
      <c r="B554" s="94" t="s">
        <v>390</v>
      </c>
      <c r="C554" s="91" t="s">
        <v>835</v>
      </c>
      <c r="D554" s="92">
        <f>D559+D563</f>
        <v>61348.84</v>
      </c>
      <c r="E554" s="92">
        <f>E559+E563</f>
        <v>59698.36</v>
      </c>
      <c r="F554" s="93">
        <f t="shared" si="40"/>
        <v>1650.4799999999959</v>
      </c>
    </row>
    <row r="555" spans="1:6" ht="13" x14ac:dyDescent="0.25">
      <c r="A555" s="87" t="s">
        <v>121</v>
      </c>
      <c r="B555" s="94"/>
      <c r="C555" s="91"/>
      <c r="D555" s="92"/>
      <c r="E555" s="92"/>
      <c r="F555" s="93"/>
    </row>
    <row r="556" spans="1:6" ht="13.5" x14ac:dyDescent="0.3">
      <c r="A556" s="97" t="s">
        <v>414</v>
      </c>
      <c r="B556" s="81" t="s">
        <v>390</v>
      </c>
      <c r="C556" s="88" t="s">
        <v>832</v>
      </c>
      <c r="D556" s="83">
        <f t="shared" si="41"/>
        <v>20148.84</v>
      </c>
      <c r="E556" s="83">
        <f t="shared" si="41"/>
        <v>18506.46</v>
      </c>
      <c r="F556" s="84">
        <f t="shared" ref="F556:F571" si="42">D556-E556</f>
        <v>1642.380000000001</v>
      </c>
    </row>
    <row r="557" spans="1:6" ht="23" x14ac:dyDescent="0.25">
      <c r="A557" s="90" t="s">
        <v>492</v>
      </c>
      <c r="B557" s="94" t="s">
        <v>390</v>
      </c>
      <c r="C557" s="91" t="s">
        <v>833</v>
      </c>
      <c r="D557" s="92">
        <f t="shared" si="41"/>
        <v>20148.84</v>
      </c>
      <c r="E557" s="92">
        <f t="shared" si="41"/>
        <v>18506.46</v>
      </c>
      <c r="F557" s="93">
        <f t="shared" si="42"/>
        <v>1642.380000000001</v>
      </c>
    </row>
    <row r="558" spans="1:6" ht="34.5" x14ac:dyDescent="0.25">
      <c r="A558" s="90" t="s">
        <v>398</v>
      </c>
      <c r="B558" s="94" t="s">
        <v>390</v>
      </c>
      <c r="C558" s="91" t="s">
        <v>834</v>
      </c>
      <c r="D558" s="92">
        <f t="shared" si="41"/>
        <v>20148.84</v>
      </c>
      <c r="E558" s="92">
        <f t="shared" si="41"/>
        <v>18506.46</v>
      </c>
      <c r="F558" s="93">
        <f t="shared" si="42"/>
        <v>1642.380000000001</v>
      </c>
    </row>
    <row r="559" spans="1:6" x14ac:dyDescent="0.25">
      <c r="A559" s="90" t="s">
        <v>400</v>
      </c>
      <c r="B559" s="94" t="s">
        <v>390</v>
      </c>
      <c r="C559" s="91" t="s">
        <v>835</v>
      </c>
      <c r="D559" s="92">
        <f>46410-26261.16</f>
        <v>20148.84</v>
      </c>
      <c r="E559" s="92">
        <f>18506.46</f>
        <v>18506.46</v>
      </c>
      <c r="F559" s="93">
        <f t="shared" si="42"/>
        <v>1642.380000000001</v>
      </c>
    </row>
    <row r="560" spans="1:6" ht="13.5" x14ac:dyDescent="0.3">
      <c r="A560" s="97" t="s">
        <v>415</v>
      </c>
      <c r="B560" s="81" t="s">
        <v>390</v>
      </c>
      <c r="C560" s="88" t="s">
        <v>832</v>
      </c>
      <c r="D560" s="83">
        <f t="shared" si="41"/>
        <v>41200</v>
      </c>
      <c r="E560" s="83">
        <f t="shared" si="41"/>
        <v>41191.9</v>
      </c>
      <c r="F560" s="84">
        <f t="shared" si="42"/>
        <v>8.0999999999985448</v>
      </c>
    </row>
    <row r="561" spans="1:6" ht="23" x14ac:dyDescent="0.25">
      <c r="A561" s="90" t="s">
        <v>492</v>
      </c>
      <c r="B561" s="94" t="s">
        <v>390</v>
      </c>
      <c r="C561" s="91" t="s">
        <v>833</v>
      </c>
      <c r="D561" s="92">
        <f t="shared" si="41"/>
        <v>41200</v>
      </c>
      <c r="E561" s="92">
        <f t="shared" si="41"/>
        <v>41191.9</v>
      </c>
      <c r="F561" s="93">
        <f t="shared" si="42"/>
        <v>8.0999999999985448</v>
      </c>
    </row>
    <row r="562" spans="1:6" ht="34.5" x14ac:dyDescent="0.25">
      <c r="A562" s="90" t="s">
        <v>398</v>
      </c>
      <c r="B562" s="94" t="s">
        <v>390</v>
      </c>
      <c r="C562" s="91" t="s">
        <v>834</v>
      </c>
      <c r="D562" s="92">
        <f t="shared" si="41"/>
        <v>41200</v>
      </c>
      <c r="E562" s="92">
        <f t="shared" si="41"/>
        <v>41191.9</v>
      </c>
      <c r="F562" s="93">
        <f t="shared" si="42"/>
        <v>8.0999999999985448</v>
      </c>
    </row>
    <row r="563" spans="1:6" x14ac:dyDescent="0.25">
      <c r="A563" s="90" t="s">
        <v>400</v>
      </c>
      <c r="B563" s="94" t="s">
        <v>390</v>
      </c>
      <c r="C563" s="91" t="s">
        <v>835</v>
      </c>
      <c r="D563" s="92">
        <f>103300-62100</f>
        <v>41200</v>
      </c>
      <c r="E563" s="92">
        <f>41191.9</f>
        <v>41191.9</v>
      </c>
      <c r="F563" s="93">
        <f t="shared" si="42"/>
        <v>8.0999999999985448</v>
      </c>
    </row>
    <row r="564" spans="1:6" s="44" customFormat="1" ht="103.5" x14ac:dyDescent="0.3">
      <c r="A564" s="89" t="s">
        <v>1366</v>
      </c>
      <c r="B564" s="81" t="s">
        <v>390</v>
      </c>
      <c r="C564" s="88" t="s">
        <v>836</v>
      </c>
      <c r="D564" s="83">
        <f t="shared" ref="D564:E570" si="43">D565</f>
        <v>520826</v>
      </c>
      <c r="E564" s="83">
        <f t="shared" si="43"/>
        <v>519274.59</v>
      </c>
      <c r="F564" s="84">
        <f t="shared" si="42"/>
        <v>1551.4099999999744</v>
      </c>
    </row>
    <row r="565" spans="1:6" s="44" customFormat="1" ht="23" x14ac:dyDescent="0.3">
      <c r="A565" s="90" t="s">
        <v>492</v>
      </c>
      <c r="B565" s="94" t="s">
        <v>390</v>
      </c>
      <c r="C565" s="91" t="s">
        <v>837</v>
      </c>
      <c r="D565" s="92">
        <f t="shared" si="43"/>
        <v>520826</v>
      </c>
      <c r="E565" s="92">
        <f t="shared" si="43"/>
        <v>519274.59</v>
      </c>
      <c r="F565" s="93">
        <f t="shared" si="42"/>
        <v>1551.4099999999744</v>
      </c>
    </row>
    <row r="566" spans="1:6" s="44" customFormat="1" ht="34.5" x14ac:dyDescent="0.3">
      <c r="A566" s="90" t="s">
        <v>398</v>
      </c>
      <c r="B566" s="94" t="s">
        <v>390</v>
      </c>
      <c r="C566" s="91" t="s">
        <v>838</v>
      </c>
      <c r="D566" s="92">
        <f t="shared" si="43"/>
        <v>520826</v>
      </c>
      <c r="E566" s="92">
        <f t="shared" si="43"/>
        <v>519274.59</v>
      </c>
      <c r="F566" s="93">
        <f t="shared" si="42"/>
        <v>1551.4099999999744</v>
      </c>
    </row>
    <row r="567" spans="1:6" s="44" customFormat="1" ht="13" x14ac:dyDescent="0.3">
      <c r="A567" s="90" t="s">
        <v>400</v>
      </c>
      <c r="B567" s="94" t="s">
        <v>390</v>
      </c>
      <c r="C567" s="91" t="s">
        <v>839</v>
      </c>
      <c r="D567" s="92">
        <v>520826</v>
      </c>
      <c r="E567" s="92">
        <v>519274.59</v>
      </c>
      <c r="F567" s="93">
        <f t="shared" si="42"/>
        <v>1551.4099999999744</v>
      </c>
    </row>
    <row r="568" spans="1:6" s="44" customFormat="1" ht="126.5" x14ac:dyDescent="0.3">
      <c r="A568" s="89" t="s">
        <v>1367</v>
      </c>
      <c r="B568" s="81" t="s">
        <v>390</v>
      </c>
      <c r="C568" s="88" t="s">
        <v>840</v>
      </c>
      <c r="D568" s="83">
        <f t="shared" si="43"/>
        <v>32460</v>
      </c>
      <c r="E568" s="83">
        <f t="shared" si="43"/>
        <v>32450</v>
      </c>
      <c r="F568" s="84">
        <f t="shared" si="42"/>
        <v>10</v>
      </c>
    </row>
    <row r="569" spans="1:6" s="44" customFormat="1" ht="23" x14ac:dyDescent="0.3">
      <c r="A569" s="90" t="s">
        <v>492</v>
      </c>
      <c r="B569" s="94" t="s">
        <v>390</v>
      </c>
      <c r="C569" s="91" t="s">
        <v>841</v>
      </c>
      <c r="D569" s="92">
        <f t="shared" si="43"/>
        <v>32460</v>
      </c>
      <c r="E569" s="92">
        <f t="shared" si="43"/>
        <v>32450</v>
      </c>
      <c r="F569" s="93">
        <f t="shared" si="42"/>
        <v>10</v>
      </c>
    </row>
    <row r="570" spans="1:6" s="44" customFormat="1" ht="34.5" x14ac:dyDescent="0.3">
      <c r="A570" s="90" t="s">
        <v>398</v>
      </c>
      <c r="B570" s="94" t="s">
        <v>390</v>
      </c>
      <c r="C570" s="91" t="s">
        <v>842</v>
      </c>
      <c r="D570" s="92">
        <f t="shared" si="43"/>
        <v>32460</v>
      </c>
      <c r="E570" s="92">
        <f t="shared" si="43"/>
        <v>32450</v>
      </c>
      <c r="F570" s="93">
        <f t="shared" si="42"/>
        <v>10</v>
      </c>
    </row>
    <row r="571" spans="1:6" s="44" customFormat="1" ht="13" x14ac:dyDescent="0.3">
      <c r="A571" s="90" t="s">
        <v>400</v>
      </c>
      <c r="B571" s="94" t="s">
        <v>390</v>
      </c>
      <c r="C571" s="91" t="s">
        <v>843</v>
      </c>
      <c r="D571" s="92">
        <f>D576+D580</f>
        <v>32460</v>
      </c>
      <c r="E571" s="92">
        <f>E576+E580</f>
        <v>32450</v>
      </c>
      <c r="F571" s="93">
        <f t="shared" si="42"/>
        <v>10</v>
      </c>
    </row>
    <row r="572" spans="1:6" s="44" customFormat="1" ht="13" x14ac:dyDescent="0.3">
      <c r="A572" s="90" t="s">
        <v>121</v>
      </c>
      <c r="B572" s="94"/>
      <c r="C572" s="91"/>
      <c r="D572" s="92"/>
      <c r="E572" s="92"/>
      <c r="F572" s="93"/>
    </row>
    <row r="573" spans="1:6" s="44" customFormat="1" ht="13" x14ac:dyDescent="0.3">
      <c r="A573" s="115" t="s">
        <v>414</v>
      </c>
      <c r="B573" s="81" t="s">
        <v>390</v>
      </c>
      <c r="C573" s="88" t="s">
        <v>840</v>
      </c>
      <c r="D573" s="83">
        <f t="shared" ref="D573:E579" si="44">D574</f>
        <v>10060</v>
      </c>
      <c r="E573" s="83">
        <f t="shared" si="44"/>
        <v>10059.56</v>
      </c>
      <c r="F573" s="84">
        <f t="shared" ref="F573:F602" si="45">D573-E573</f>
        <v>0.44000000000050932</v>
      </c>
    </row>
    <row r="574" spans="1:6" s="44" customFormat="1" ht="23" x14ac:dyDescent="0.3">
      <c r="A574" s="90" t="s">
        <v>492</v>
      </c>
      <c r="B574" s="94" t="s">
        <v>390</v>
      </c>
      <c r="C574" s="91" t="s">
        <v>841</v>
      </c>
      <c r="D574" s="92">
        <f t="shared" si="44"/>
        <v>10060</v>
      </c>
      <c r="E574" s="92">
        <f t="shared" si="44"/>
        <v>10059.56</v>
      </c>
      <c r="F574" s="93">
        <f t="shared" si="45"/>
        <v>0.44000000000050932</v>
      </c>
    </row>
    <row r="575" spans="1:6" s="44" customFormat="1" ht="34.5" x14ac:dyDescent="0.3">
      <c r="A575" s="90" t="s">
        <v>398</v>
      </c>
      <c r="B575" s="94" t="s">
        <v>390</v>
      </c>
      <c r="C575" s="91" t="s">
        <v>842</v>
      </c>
      <c r="D575" s="92">
        <f t="shared" si="44"/>
        <v>10060</v>
      </c>
      <c r="E575" s="92">
        <f t="shared" si="44"/>
        <v>10059.56</v>
      </c>
      <c r="F575" s="93">
        <f t="shared" si="45"/>
        <v>0.44000000000050932</v>
      </c>
    </row>
    <row r="576" spans="1:6" s="44" customFormat="1" ht="13" x14ac:dyDescent="0.3">
      <c r="A576" s="90" t="s">
        <v>400</v>
      </c>
      <c r="B576" s="94" t="s">
        <v>390</v>
      </c>
      <c r="C576" s="91" t="s">
        <v>843</v>
      </c>
      <c r="D576" s="92">
        <v>10060</v>
      </c>
      <c r="E576" s="92">
        <f>10059.56</f>
        <v>10059.56</v>
      </c>
      <c r="F576" s="93">
        <f t="shared" si="45"/>
        <v>0.44000000000050932</v>
      </c>
    </row>
    <row r="577" spans="1:6" s="44" customFormat="1" ht="13" x14ac:dyDescent="0.3">
      <c r="A577" s="115" t="s">
        <v>415</v>
      </c>
      <c r="B577" s="81" t="s">
        <v>390</v>
      </c>
      <c r="C577" s="88" t="s">
        <v>840</v>
      </c>
      <c r="D577" s="83">
        <f t="shared" si="44"/>
        <v>22400</v>
      </c>
      <c r="E577" s="83">
        <f t="shared" si="44"/>
        <v>22390.44</v>
      </c>
      <c r="F577" s="84">
        <f t="shared" si="45"/>
        <v>9.5600000000013097</v>
      </c>
    </row>
    <row r="578" spans="1:6" s="44" customFormat="1" ht="23" x14ac:dyDescent="0.3">
      <c r="A578" s="90" t="s">
        <v>492</v>
      </c>
      <c r="B578" s="94" t="s">
        <v>390</v>
      </c>
      <c r="C578" s="91" t="s">
        <v>841</v>
      </c>
      <c r="D578" s="92">
        <f t="shared" si="44"/>
        <v>22400</v>
      </c>
      <c r="E578" s="92">
        <f t="shared" si="44"/>
        <v>22390.44</v>
      </c>
      <c r="F578" s="93">
        <f t="shared" si="45"/>
        <v>9.5600000000013097</v>
      </c>
    </row>
    <row r="579" spans="1:6" s="44" customFormat="1" ht="34.5" x14ac:dyDescent="0.3">
      <c r="A579" s="90" t="s">
        <v>398</v>
      </c>
      <c r="B579" s="94" t="s">
        <v>390</v>
      </c>
      <c r="C579" s="91" t="s">
        <v>842</v>
      </c>
      <c r="D579" s="92">
        <f t="shared" si="44"/>
        <v>22400</v>
      </c>
      <c r="E579" s="92">
        <f t="shared" si="44"/>
        <v>22390.44</v>
      </c>
      <c r="F579" s="93">
        <f t="shared" si="45"/>
        <v>9.5600000000013097</v>
      </c>
    </row>
    <row r="580" spans="1:6" s="44" customFormat="1" ht="13" x14ac:dyDescent="0.3">
      <c r="A580" s="90" t="s">
        <v>400</v>
      </c>
      <c r="B580" s="94" t="s">
        <v>390</v>
      </c>
      <c r="C580" s="91" t="s">
        <v>843</v>
      </c>
      <c r="D580" s="92">
        <v>22400</v>
      </c>
      <c r="E580" s="92">
        <f>22390.44</f>
        <v>22390.44</v>
      </c>
      <c r="F580" s="93">
        <f t="shared" si="45"/>
        <v>9.5600000000013097</v>
      </c>
    </row>
    <row r="581" spans="1:6" s="44" customFormat="1" ht="16.5" customHeight="1" x14ac:dyDescent="0.3">
      <c r="A581" s="89" t="s">
        <v>844</v>
      </c>
      <c r="B581" s="81" t="s">
        <v>390</v>
      </c>
      <c r="C581" s="88" t="s">
        <v>845</v>
      </c>
      <c r="D581" s="83">
        <f t="shared" ref="D581:E587" si="46">D582</f>
        <v>733144</v>
      </c>
      <c r="E581" s="83">
        <f t="shared" si="46"/>
        <v>733144</v>
      </c>
      <c r="F581" s="84">
        <f t="shared" si="45"/>
        <v>0</v>
      </c>
    </row>
    <row r="582" spans="1:6" s="44" customFormat="1" ht="23" x14ac:dyDescent="0.3">
      <c r="A582" s="90" t="s">
        <v>492</v>
      </c>
      <c r="B582" s="94" t="s">
        <v>390</v>
      </c>
      <c r="C582" s="91" t="s">
        <v>846</v>
      </c>
      <c r="D582" s="92">
        <f t="shared" si="46"/>
        <v>733144</v>
      </c>
      <c r="E582" s="92">
        <f t="shared" si="46"/>
        <v>733144</v>
      </c>
      <c r="F582" s="93">
        <f t="shared" si="45"/>
        <v>0</v>
      </c>
    </row>
    <row r="583" spans="1:6" s="44" customFormat="1" ht="34.5" x14ac:dyDescent="0.3">
      <c r="A583" s="90" t="s">
        <v>398</v>
      </c>
      <c r="B583" s="94" t="s">
        <v>390</v>
      </c>
      <c r="C583" s="91" t="s">
        <v>847</v>
      </c>
      <c r="D583" s="92">
        <f t="shared" si="46"/>
        <v>733144</v>
      </c>
      <c r="E583" s="92">
        <f t="shared" si="46"/>
        <v>733144</v>
      </c>
      <c r="F583" s="93">
        <f t="shared" si="45"/>
        <v>0</v>
      </c>
    </row>
    <row r="584" spans="1:6" s="44" customFormat="1" ht="13" x14ac:dyDescent="0.3">
      <c r="A584" s="90" t="s">
        <v>400</v>
      </c>
      <c r="B584" s="94" t="s">
        <v>390</v>
      </c>
      <c r="C584" s="91" t="s">
        <v>848</v>
      </c>
      <c r="D584" s="92">
        <v>733144</v>
      </c>
      <c r="E584" s="92">
        <v>733144</v>
      </c>
      <c r="F584" s="93">
        <f t="shared" si="45"/>
        <v>0</v>
      </c>
    </row>
    <row r="585" spans="1:6" s="44" customFormat="1" ht="34.5" x14ac:dyDescent="0.3">
      <c r="A585" s="89" t="s">
        <v>849</v>
      </c>
      <c r="B585" s="81" t="s">
        <v>390</v>
      </c>
      <c r="C585" s="88" t="s">
        <v>850</v>
      </c>
      <c r="D585" s="83">
        <f t="shared" si="46"/>
        <v>250000</v>
      </c>
      <c r="E585" s="83">
        <f t="shared" si="46"/>
        <v>250000</v>
      </c>
      <c r="F585" s="84">
        <f>D585-E585</f>
        <v>0</v>
      </c>
    </row>
    <row r="586" spans="1:6" s="44" customFormat="1" ht="23" x14ac:dyDescent="0.3">
      <c r="A586" s="90" t="s">
        <v>492</v>
      </c>
      <c r="B586" s="94" t="s">
        <v>390</v>
      </c>
      <c r="C586" s="91" t="s">
        <v>851</v>
      </c>
      <c r="D586" s="92">
        <f t="shared" si="46"/>
        <v>250000</v>
      </c>
      <c r="E586" s="92">
        <f t="shared" si="46"/>
        <v>250000</v>
      </c>
      <c r="F586" s="93">
        <f>D586-E586</f>
        <v>0</v>
      </c>
    </row>
    <row r="587" spans="1:6" s="44" customFormat="1" ht="34.5" x14ac:dyDescent="0.3">
      <c r="A587" s="90" t="s">
        <v>398</v>
      </c>
      <c r="B587" s="94" t="s">
        <v>390</v>
      </c>
      <c r="C587" s="91" t="s">
        <v>852</v>
      </c>
      <c r="D587" s="92">
        <f t="shared" si="46"/>
        <v>250000</v>
      </c>
      <c r="E587" s="92">
        <f t="shared" si="46"/>
        <v>250000</v>
      </c>
      <c r="F587" s="93">
        <f>D587-E587</f>
        <v>0</v>
      </c>
    </row>
    <row r="588" spans="1:6" s="44" customFormat="1" ht="13" x14ac:dyDescent="0.3">
      <c r="A588" s="90" t="s">
        <v>400</v>
      </c>
      <c r="B588" s="94" t="s">
        <v>390</v>
      </c>
      <c r="C588" s="91" t="s">
        <v>853</v>
      </c>
      <c r="D588" s="92">
        <v>250000</v>
      </c>
      <c r="E588" s="92">
        <v>250000</v>
      </c>
      <c r="F588" s="93">
        <f>D588-E588</f>
        <v>0</v>
      </c>
    </row>
    <row r="589" spans="1:6" s="44" customFormat="1" ht="80.5" x14ac:dyDescent="0.3">
      <c r="A589" s="89" t="s">
        <v>854</v>
      </c>
      <c r="B589" s="81" t="s">
        <v>390</v>
      </c>
      <c r="C589" s="88" t="s">
        <v>855</v>
      </c>
      <c r="D589" s="83">
        <f>D590</f>
        <v>791271</v>
      </c>
      <c r="E589" s="83">
        <f>E590</f>
        <v>791271</v>
      </c>
      <c r="F589" s="84">
        <f t="shared" si="45"/>
        <v>0</v>
      </c>
    </row>
    <row r="590" spans="1:6" s="44" customFormat="1" ht="13" x14ac:dyDescent="0.3">
      <c r="A590" s="90" t="s">
        <v>678</v>
      </c>
      <c r="B590" s="94" t="s">
        <v>390</v>
      </c>
      <c r="C590" s="91" t="s">
        <v>856</v>
      </c>
      <c r="D590" s="92">
        <f>D591</f>
        <v>791271</v>
      </c>
      <c r="E590" s="92">
        <f>E591</f>
        <v>791271</v>
      </c>
      <c r="F590" s="93">
        <f t="shared" si="45"/>
        <v>0</v>
      </c>
    </row>
    <row r="591" spans="1:6" s="44" customFormat="1" ht="13" x14ac:dyDescent="0.3">
      <c r="A591" s="90" t="s">
        <v>680</v>
      </c>
      <c r="B591" s="94" t="s">
        <v>390</v>
      </c>
      <c r="C591" s="91" t="s">
        <v>857</v>
      </c>
      <c r="D591" s="92">
        <v>791271</v>
      </c>
      <c r="E591" s="92">
        <v>791271</v>
      </c>
      <c r="F591" s="93">
        <f t="shared" si="45"/>
        <v>0</v>
      </c>
    </row>
    <row r="592" spans="1:6" s="44" customFormat="1" ht="34.5" x14ac:dyDescent="0.3">
      <c r="A592" s="89" t="s">
        <v>858</v>
      </c>
      <c r="B592" s="81" t="s">
        <v>390</v>
      </c>
      <c r="C592" s="107" t="s">
        <v>859</v>
      </c>
      <c r="D592" s="83">
        <f>D593+D617</f>
        <v>1625179</v>
      </c>
      <c r="E592" s="83">
        <f>E593+E617</f>
        <v>1595806.73</v>
      </c>
      <c r="F592" s="84">
        <f t="shared" si="45"/>
        <v>29372.270000000019</v>
      </c>
    </row>
    <row r="593" spans="1:6" s="44" customFormat="1" ht="39" x14ac:dyDescent="0.3">
      <c r="A593" s="116" t="s">
        <v>860</v>
      </c>
      <c r="B593" s="81" t="s">
        <v>390</v>
      </c>
      <c r="C593" s="88" t="s">
        <v>861</v>
      </c>
      <c r="D593" s="83">
        <f>D594+D599+D612</f>
        <v>1615179</v>
      </c>
      <c r="E593" s="83">
        <f>E594+E599+E612</f>
        <v>1586536.73</v>
      </c>
      <c r="F593" s="84">
        <f t="shared" si="45"/>
        <v>28642.270000000019</v>
      </c>
    </row>
    <row r="594" spans="1:6" s="44" customFormat="1" ht="60" customHeight="1" x14ac:dyDescent="0.3">
      <c r="A594" s="89" t="s">
        <v>862</v>
      </c>
      <c r="B594" s="81" t="s">
        <v>390</v>
      </c>
      <c r="C594" s="88" t="s">
        <v>863</v>
      </c>
      <c r="D594" s="83">
        <f>D595</f>
        <v>98729</v>
      </c>
      <c r="E594" s="83">
        <f>E595</f>
        <v>93110</v>
      </c>
      <c r="F594" s="84">
        <f t="shared" si="45"/>
        <v>5619</v>
      </c>
    </row>
    <row r="595" spans="1:6" s="44" customFormat="1" ht="23" x14ac:dyDescent="0.3">
      <c r="A595" s="90" t="s">
        <v>492</v>
      </c>
      <c r="B595" s="94" t="s">
        <v>390</v>
      </c>
      <c r="C595" s="91" t="s">
        <v>864</v>
      </c>
      <c r="D595" s="92">
        <f>D596</f>
        <v>98729</v>
      </c>
      <c r="E595" s="92">
        <f>E596</f>
        <v>93110</v>
      </c>
      <c r="F595" s="93">
        <f t="shared" si="45"/>
        <v>5619</v>
      </c>
    </row>
    <row r="596" spans="1:6" s="44" customFormat="1" ht="34.5" x14ac:dyDescent="0.3">
      <c r="A596" s="90" t="s">
        <v>398</v>
      </c>
      <c r="B596" s="94" t="s">
        <v>390</v>
      </c>
      <c r="C596" s="91" t="s">
        <v>865</v>
      </c>
      <c r="D596" s="92">
        <f>SUM(D597:D598)</f>
        <v>98729</v>
      </c>
      <c r="E596" s="92">
        <f>SUM(E597:E598)</f>
        <v>93110</v>
      </c>
      <c r="F596" s="93">
        <f t="shared" si="45"/>
        <v>5619</v>
      </c>
    </row>
    <row r="597" spans="1:6" s="44" customFormat="1" ht="34.5" x14ac:dyDescent="0.3">
      <c r="A597" s="90" t="s">
        <v>495</v>
      </c>
      <c r="B597" s="94" t="s">
        <v>390</v>
      </c>
      <c r="C597" s="91" t="s">
        <v>866</v>
      </c>
      <c r="D597" s="92">
        <v>80492</v>
      </c>
      <c r="E597" s="92">
        <v>80492</v>
      </c>
      <c r="F597" s="93">
        <f>D597-E597</f>
        <v>0</v>
      </c>
    </row>
    <row r="598" spans="1:6" s="44" customFormat="1" ht="13" x14ac:dyDescent="0.3">
      <c r="A598" s="90" t="s">
        <v>400</v>
      </c>
      <c r="B598" s="94" t="s">
        <v>390</v>
      </c>
      <c r="C598" s="91" t="s">
        <v>867</v>
      </c>
      <c r="D598" s="92">
        <v>18237</v>
      </c>
      <c r="E598" s="92">
        <v>12618</v>
      </c>
      <c r="F598" s="93">
        <f t="shared" si="45"/>
        <v>5619</v>
      </c>
    </row>
    <row r="599" spans="1:6" s="44" customFormat="1" ht="57.5" x14ac:dyDescent="0.3">
      <c r="A599" s="89" t="s">
        <v>868</v>
      </c>
      <c r="B599" s="81" t="s">
        <v>390</v>
      </c>
      <c r="C599" s="88" t="s">
        <v>869</v>
      </c>
      <c r="D599" s="83">
        <f t="shared" ref="D599:E606" si="47">D600</f>
        <v>1366450</v>
      </c>
      <c r="E599" s="83">
        <f t="shared" si="47"/>
        <v>1360098.73</v>
      </c>
      <c r="F599" s="84">
        <f t="shared" si="45"/>
        <v>6351.2700000000186</v>
      </c>
    </row>
    <row r="600" spans="1:6" s="44" customFormat="1" ht="23" x14ac:dyDescent="0.3">
      <c r="A600" s="90" t="s">
        <v>492</v>
      </c>
      <c r="B600" s="94" t="s">
        <v>390</v>
      </c>
      <c r="C600" s="91" t="s">
        <v>870</v>
      </c>
      <c r="D600" s="92">
        <f t="shared" si="47"/>
        <v>1366450</v>
      </c>
      <c r="E600" s="92">
        <f t="shared" si="47"/>
        <v>1360098.73</v>
      </c>
      <c r="F600" s="93">
        <f t="shared" si="45"/>
        <v>6351.2700000000186</v>
      </c>
    </row>
    <row r="601" spans="1:6" s="44" customFormat="1" ht="34.5" x14ac:dyDescent="0.3">
      <c r="A601" s="90" t="s">
        <v>398</v>
      </c>
      <c r="B601" s="94" t="s">
        <v>390</v>
      </c>
      <c r="C601" s="91" t="s">
        <v>871</v>
      </c>
      <c r="D601" s="92">
        <f t="shared" si="47"/>
        <v>1366450</v>
      </c>
      <c r="E601" s="92">
        <f t="shared" si="47"/>
        <v>1360098.73</v>
      </c>
      <c r="F601" s="93">
        <f t="shared" si="45"/>
        <v>6351.2700000000186</v>
      </c>
    </row>
    <row r="602" spans="1:6" s="44" customFormat="1" ht="13" x14ac:dyDescent="0.3">
      <c r="A602" s="90" t="s">
        <v>400</v>
      </c>
      <c r="B602" s="94" t="s">
        <v>390</v>
      </c>
      <c r="C602" s="91" t="s">
        <v>872</v>
      </c>
      <c r="D602" s="92">
        <f>D607+D611</f>
        <v>1366450</v>
      </c>
      <c r="E602" s="92">
        <f>E607+E611</f>
        <v>1360098.73</v>
      </c>
      <c r="F602" s="93">
        <f t="shared" si="45"/>
        <v>6351.2700000000186</v>
      </c>
    </row>
    <row r="603" spans="1:6" s="44" customFormat="1" ht="13" x14ac:dyDescent="0.3">
      <c r="A603" s="89" t="s">
        <v>121</v>
      </c>
      <c r="B603" s="94"/>
      <c r="C603" s="91"/>
      <c r="D603" s="92"/>
      <c r="E603" s="92"/>
      <c r="F603" s="93"/>
    </row>
    <row r="604" spans="1:6" s="44" customFormat="1" ht="13" x14ac:dyDescent="0.3">
      <c r="A604" s="115" t="s">
        <v>414</v>
      </c>
      <c r="B604" s="81" t="s">
        <v>390</v>
      </c>
      <c r="C604" s="88" t="s">
        <v>869</v>
      </c>
      <c r="D604" s="83">
        <f t="shared" si="47"/>
        <v>700000</v>
      </c>
      <c r="E604" s="83">
        <f t="shared" si="47"/>
        <v>693650.35</v>
      </c>
      <c r="F604" s="84">
        <f t="shared" ref="F604:F699" si="48">D604-E604</f>
        <v>6349.6500000000233</v>
      </c>
    </row>
    <row r="605" spans="1:6" s="44" customFormat="1" ht="23" x14ac:dyDescent="0.3">
      <c r="A605" s="90" t="s">
        <v>492</v>
      </c>
      <c r="B605" s="94" t="s">
        <v>390</v>
      </c>
      <c r="C605" s="91" t="s">
        <v>870</v>
      </c>
      <c r="D605" s="92">
        <f t="shared" si="47"/>
        <v>700000</v>
      </c>
      <c r="E605" s="92">
        <f t="shared" si="47"/>
        <v>693650.35</v>
      </c>
      <c r="F605" s="93">
        <f t="shared" si="48"/>
        <v>6349.6500000000233</v>
      </c>
    </row>
    <row r="606" spans="1:6" s="44" customFormat="1" ht="34.5" x14ac:dyDescent="0.3">
      <c r="A606" s="90" t="s">
        <v>398</v>
      </c>
      <c r="B606" s="94" t="s">
        <v>390</v>
      </c>
      <c r="C606" s="91" t="s">
        <v>871</v>
      </c>
      <c r="D606" s="92">
        <f t="shared" si="47"/>
        <v>700000</v>
      </c>
      <c r="E606" s="92">
        <f t="shared" si="47"/>
        <v>693650.35</v>
      </c>
      <c r="F606" s="93">
        <f t="shared" si="48"/>
        <v>6349.6500000000233</v>
      </c>
    </row>
    <row r="607" spans="1:6" s="44" customFormat="1" ht="13" x14ac:dyDescent="0.3">
      <c r="A607" s="90" t="s">
        <v>400</v>
      </c>
      <c r="B607" s="94" t="s">
        <v>390</v>
      </c>
      <c r="C607" s="91" t="s">
        <v>872</v>
      </c>
      <c r="D607" s="92">
        <v>700000</v>
      </c>
      <c r="E607" s="92">
        <f>693650.35</f>
        <v>693650.35</v>
      </c>
      <c r="F607" s="93">
        <f t="shared" si="48"/>
        <v>6349.6500000000233</v>
      </c>
    </row>
    <row r="608" spans="1:6" s="44" customFormat="1" ht="13" x14ac:dyDescent="0.3">
      <c r="A608" s="115" t="s">
        <v>415</v>
      </c>
      <c r="B608" s="81" t="s">
        <v>390</v>
      </c>
      <c r="C608" s="88" t="s">
        <v>869</v>
      </c>
      <c r="D608" s="83">
        <f t="shared" ref="D608:E610" si="49">D609</f>
        <v>666450</v>
      </c>
      <c r="E608" s="83">
        <f t="shared" si="49"/>
        <v>666448.38</v>
      </c>
      <c r="F608" s="84">
        <f t="shared" si="48"/>
        <v>1.6199999999953434</v>
      </c>
    </row>
    <row r="609" spans="1:6" s="44" customFormat="1" ht="23" x14ac:dyDescent="0.3">
      <c r="A609" s="90" t="s">
        <v>492</v>
      </c>
      <c r="B609" s="94" t="s">
        <v>390</v>
      </c>
      <c r="C609" s="91" t="s">
        <v>870</v>
      </c>
      <c r="D609" s="92">
        <f t="shared" si="49"/>
        <v>666450</v>
      </c>
      <c r="E609" s="92">
        <f t="shared" si="49"/>
        <v>666448.38</v>
      </c>
      <c r="F609" s="93">
        <f t="shared" si="48"/>
        <v>1.6199999999953434</v>
      </c>
    </row>
    <row r="610" spans="1:6" s="44" customFormat="1" ht="34.5" x14ac:dyDescent="0.3">
      <c r="A610" s="90" t="s">
        <v>398</v>
      </c>
      <c r="B610" s="94" t="s">
        <v>390</v>
      </c>
      <c r="C610" s="91" t="s">
        <v>871</v>
      </c>
      <c r="D610" s="92">
        <f t="shared" si="49"/>
        <v>666450</v>
      </c>
      <c r="E610" s="92">
        <f t="shared" si="49"/>
        <v>666448.38</v>
      </c>
      <c r="F610" s="93">
        <f t="shared" si="48"/>
        <v>1.6199999999953434</v>
      </c>
    </row>
    <row r="611" spans="1:6" s="44" customFormat="1" ht="13" x14ac:dyDescent="0.3">
      <c r="A611" s="90" t="s">
        <v>400</v>
      </c>
      <c r="B611" s="94" t="s">
        <v>390</v>
      </c>
      <c r="C611" s="91" t="s">
        <v>872</v>
      </c>
      <c r="D611" s="92">
        <v>666450</v>
      </c>
      <c r="E611" s="92">
        <f>666448.38</f>
        <v>666448.38</v>
      </c>
      <c r="F611" s="93">
        <f t="shared" si="48"/>
        <v>1.6199999999953434</v>
      </c>
    </row>
    <row r="612" spans="1:6" ht="69" x14ac:dyDescent="0.3">
      <c r="A612" s="89" t="s">
        <v>873</v>
      </c>
      <c r="B612" s="81" t="s">
        <v>390</v>
      </c>
      <c r="C612" s="88" t="s">
        <v>874</v>
      </c>
      <c r="D612" s="83">
        <f>D613</f>
        <v>150000</v>
      </c>
      <c r="E612" s="83">
        <f>E613</f>
        <v>133328</v>
      </c>
      <c r="F612" s="84">
        <f t="shared" si="48"/>
        <v>16672</v>
      </c>
    </row>
    <row r="613" spans="1:6" ht="23" x14ac:dyDescent="0.25">
      <c r="A613" s="90" t="s">
        <v>492</v>
      </c>
      <c r="B613" s="94" t="s">
        <v>390</v>
      </c>
      <c r="C613" s="91" t="s">
        <v>875</v>
      </c>
      <c r="D613" s="92">
        <f>D614</f>
        <v>150000</v>
      </c>
      <c r="E613" s="92">
        <f>E614</f>
        <v>133328</v>
      </c>
      <c r="F613" s="93">
        <f t="shared" si="48"/>
        <v>16672</v>
      </c>
    </row>
    <row r="614" spans="1:6" ht="34.5" x14ac:dyDescent="0.25">
      <c r="A614" s="90" t="s">
        <v>398</v>
      </c>
      <c r="B614" s="94" t="s">
        <v>390</v>
      </c>
      <c r="C614" s="91" t="s">
        <v>876</v>
      </c>
      <c r="D614" s="92">
        <f>D615+D616</f>
        <v>150000</v>
      </c>
      <c r="E614" s="92">
        <f>E615+E616</f>
        <v>133328</v>
      </c>
      <c r="F614" s="93">
        <f t="shared" si="48"/>
        <v>16672</v>
      </c>
    </row>
    <row r="615" spans="1:6" ht="34.5" hidden="1" x14ac:dyDescent="0.25">
      <c r="A615" s="90" t="s">
        <v>495</v>
      </c>
      <c r="B615" s="94" t="s">
        <v>390</v>
      </c>
      <c r="C615" s="91" t="s">
        <v>877</v>
      </c>
      <c r="D615" s="92"/>
      <c r="E615" s="92"/>
      <c r="F615" s="93">
        <f>D615-E615</f>
        <v>0</v>
      </c>
    </row>
    <row r="616" spans="1:6" x14ac:dyDescent="0.25">
      <c r="A616" s="90" t="s">
        <v>400</v>
      </c>
      <c r="B616" s="94" t="s">
        <v>390</v>
      </c>
      <c r="C616" s="91" t="s">
        <v>878</v>
      </c>
      <c r="D616" s="92">
        <v>150000</v>
      </c>
      <c r="E616" s="92">
        <v>133328</v>
      </c>
      <c r="F616" s="93">
        <f t="shared" si="48"/>
        <v>16672</v>
      </c>
    </row>
    <row r="617" spans="1:6" ht="65" x14ac:dyDescent="0.3">
      <c r="A617" s="116" t="s">
        <v>879</v>
      </c>
      <c r="B617" s="81" t="s">
        <v>390</v>
      </c>
      <c r="C617" s="88" t="s">
        <v>880</v>
      </c>
      <c r="D617" s="83">
        <f>D618</f>
        <v>10000</v>
      </c>
      <c r="E617" s="83">
        <f>E618</f>
        <v>9270</v>
      </c>
      <c r="F617" s="84">
        <f t="shared" si="48"/>
        <v>730</v>
      </c>
    </row>
    <row r="618" spans="1:6" ht="92" x14ac:dyDescent="0.3">
      <c r="A618" s="89" t="s">
        <v>881</v>
      </c>
      <c r="B618" s="81" t="s">
        <v>390</v>
      </c>
      <c r="C618" s="88" t="s">
        <v>882</v>
      </c>
      <c r="D618" s="83">
        <f t="shared" ref="D618:E620" si="50">D619</f>
        <v>10000</v>
      </c>
      <c r="E618" s="83">
        <f t="shared" si="50"/>
        <v>9270</v>
      </c>
      <c r="F618" s="84">
        <f t="shared" si="48"/>
        <v>730</v>
      </c>
    </row>
    <row r="619" spans="1:6" ht="23" x14ac:dyDescent="0.25">
      <c r="A619" s="90" t="s">
        <v>492</v>
      </c>
      <c r="B619" s="94" t="s">
        <v>390</v>
      </c>
      <c r="C619" s="91" t="s">
        <v>883</v>
      </c>
      <c r="D619" s="92">
        <f t="shared" si="50"/>
        <v>10000</v>
      </c>
      <c r="E619" s="92">
        <f t="shared" si="50"/>
        <v>9270</v>
      </c>
      <c r="F619" s="93">
        <f t="shared" si="48"/>
        <v>730</v>
      </c>
    </row>
    <row r="620" spans="1:6" ht="34.5" x14ac:dyDescent="0.25">
      <c r="A620" s="90" t="s">
        <v>398</v>
      </c>
      <c r="B620" s="94" t="s">
        <v>390</v>
      </c>
      <c r="C620" s="91" t="s">
        <v>884</v>
      </c>
      <c r="D620" s="92">
        <f t="shared" si="50"/>
        <v>10000</v>
      </c>
      <c r="E620" s="92">
        <f t="shared" si="50"/>
        <v>9270</v>
      </c>
      <c r="F620" s="93">
        <f t="shared" si="48"/>
        <v>730</v>
      </c>
    </row>
    <row r="621" spans="1:6" x14ac:dyDescent="0.25">
      <c r="A621" s="90" t="s">
        <v>400</v>
      </c>
      <c r="B621" s="94" t="s">
        <v>390</v>
      </c>
      <c r="C621" s="91" t="s">
        <v>885</v>
      </c>
      <c r="D621" s="92">
        <v>10000</v>
      </c>
      <c r="E621" s="92">
        <v>9270</v>
      </c>
      <c r="F621" s="93">
        <f t="shared" si="48"/>
        <v>730</v>
      </c>
    </row>
    <row r="622" spans="1:6" ht="13" x14ac:dyDescent="0.3">
      <c r="A622" s="89" t="s">
        <v>886</v>
      </c>
      <c r="B622" s="81" t="s">
        <v>390</v>
      </c>
      <c r="C622" s="107" t="s">
        <v>887</v>
      </c>
      <c r="D622" s="83">
        <f>D623+D646+D671+D730+D652</f>
        <v>139508028</v>
      </c>
      <c r="E622" s="83">
        <f>E623+E646+E671+E730+E652</f>
        <v>138021222.53</v>
      </c>
      <c r="F622" s="84">
        <f t="shared" si="48"/>
        <v>1486805.4699999988</v>
      </c>
    </row>
    <row r="623" spans="1:6" ht="13" x14ac:dyDescent="0.3">
      <c r="A623" s="89" t="s">
        <v>888</v>
      </c>
      <c r="B623" s="81" t="s">
        <v>390</v>
      </c>
      <c r="C623" s="107" t="s">
        <v>889</v>
      </c>
      <c r="D623" s="83">
        <f>D624</f>
        <v>2318000</v>
      </c>
      <c r="E623" s="83">
        <f>E624</f>
        <v>2311500</v>
      </c>
      <c r="F623" s="84">
        <f t="shared" si="48"/>
        <v>6500</v>
      </c>
    </row>
    <row r="624" spans="1:6" ht="23" x14ac:dyDescent="0.3">
      <c r="A624" s="89" t="s">
        <v>890</v>
      </c>
      <c r="B624" s="81" t="s">
        <v>390</v>
      </c>
      <c r="C624" s="88" t="s">
        <v>891</v>
      </c>
      <c r="D624" s="83">
        <f>D625+D633+D629</f>
        <v>2318000</v>
      </c>
      <c r="E624" s="83">
        <f>E625+E633+E629</f>
        <v>2311500</v>
      </c>
      <c r="F624" s="84">
        <f t="shared" si="48"/>
        <v>6500</v>
      </c>
    </row>
    <row r="625" spans="1:6" ht="57.5" x14ac:dyDescent="0.3">
      <c r="A625" s="89" t="s">
        <v>892</v>
      </c>
      <c r="B625" s="81" t="s">
        <v>390</v>
      </c>
      <c r="C625" s="88" t="s">
        <v>893</v>
      </c>
      <c r="D625" s="83">
        <f t="shared" ref="D625:E627" si="51">D626</f>
        <v>60000</v>
      </c>
      <c r="E625" s="83">
        <f t="shared" si="51"/>
        <v>53500</v>
      </c>
      <c r="F625" s="84">
        <f t="shared" si="48"/>
        <v>6500</v>
      </c>
    </row>
    <row r="626" spans="1:6" ht="23" x14ac:dyDescent="0.25">
      <c r="A626" s="90" t="s">
        <v>492</v>
      </c>
      <c r="B626" s="94" t="s">
        <v>390</v>
      </c>
      <c r="C626" s="91" t="s">
        <v>894</v>
      </c>
      <c r="D626" s="92">
        <f t="shared" si="51"/>
        <v>60000</v>
      </c>
      <c r="E626" s="92">
        <f t="shared" si="51"/>
        <v>53500</v>
      </c>
      <c r="F626" s="93">
        <f t="shared" si="48"/>
        <v>6500</v>
      </c>
    </row>
    <row r="627" spans="1:6" ht="34.5" x14ac:dyDescent="0.25">
      <c r="A627" s="90" t="s">
        <v>398</v>
      </c>
      <c r="B627" s="94" t="s">
        <v>390</v>
      </c>
      <c r="C627" s="91" t="s">
        <v>895</v>
      </c>
      <c r="D627" s="92">
        <f t="shared" si="51"/>
        <v>60000</v>
      </c>
      <c r="E627" s="92">
        <f t="shared" si="51"/>
        <v>53500</v>
      </c>
      <c r="F627" s="93">
        <f t="shared" si="48"/>
        <v>6500</v>
      </c>
    </row>
    <row r="628" spans="1:6" x14ac:dyDescent="0.25">
      <c r="A628" s="90" t="s">
        <v>400</v>
      </c>
      <c r="B628" s="94" t="s">
        <v>390</v>
      </c>
      <c r="C628" s="91" t="s">
        <v>896</v>
      </c>
      <c r="D628" s="92">
        <v>60000</v>
      </c>
      <c r="E628" s="92">
        <v>53500</v>
      </c>
      <c r="F628" s="93">
        <f t="shared" si="48"/>
        <v>6500</v>
      </c>
    </row>
    <row r="629" spans="1:6" ht="138" hidden="1" x14ac:dyDescent="0.3">
      <c r="A629" s="89" t="s">
        <v>897</v>
      </c>
      <c r="B629" s="81" t="s">
        <v>390</v>
      </c>
      <c r="C629" s="88" t="s">
        <v>898</v>
      </c>
      <c r="D629" s="83">
        <f t="shared" ref="D629:E631" si="52">D630</f>
        <v>0</v>
      </c>
      <c r="E629" s="83">
        <f t="shared" si="52"/>
        <v>0</v>
      </c>
      <c r="F629" s="84">
        <f t="shared" si="48"/>
        <v>0</v>
      </c>
    </row>
    <row r="630" spans="1:6" ht="34.5" hidden="1" x14ac:dyDescent="0.25">
      <c r="A630" s="90" t="s">
        <v>404</v>
      </c>
      <c r="B630" s="94" t="s">
        <v>390</v>
      </c>
      <c r="C630" s="91" t="s">
        <v>899</v>
      </c>
      <c r="D630" s="92">
        <f t="shared" si="52"/>
        <v>0</v>
      </c>
      <c r="E630" s="92">
        <f t="shared" si="52"/>
        <v>0</v>
      </c>
      <c r="F630" s="93">
        <f t="shared" si="48"/>
        <v>0</v>
      </c>
    </row>
    <row r="631" spans="1:6" ht="57.5" hidden="1" x14ac:dyDescent="0.25">
      <c r="A631" s="90" t="s">
        <v>722</v>
      </c>
      <c r="B631" s="94" t="s">
        <v>390</v>
      </c>
      <c r="C631" s="91" t="s">
        <v>900</v>
      </c>
      <c r="D631" s="92">
        <f t="shared" si="52"/>
        <v>0</v>
      </c>
      <c r="E631" s="92">
        <f t="shared" si="52"/>
        <v>0</v>
      </c>
      <c r="F631" s="93">
        <f t="shared" si="48"/>
        <v>0</v>
      </c>
    </row>
    <row r="632" spans="1:6" ht="34.5" hidden="1" x14ac:dyDescent="0.25">
      <c r="A632" s="90" t="s">
        <v>901</v>
      </c>
      <c r="B632" s="94" t="s">
        <v>390</v>
      </c>
      <c r="C632" s="91" t="s">
        <v>902</v>
      </c>
      <c r="D632" s="92"/>
      <c r="E632" s="92"/>
      <c r="F632" s="93">
        <f t="shared" si="48"/>
        <v>0</v>
      </c>
    </row>
    <row r="633" spans="1:6" ht="85.5" customHeight="1" x14ac:dyDescent="0.3">
      <c r="A633" s="89" t="s">
        <v>903</v>
      </c>
      <c r="B633" s="81" t="s">
        <v>390</v>
      </c>
      <c r="C633" s="88" t="s">
        <v>904</v>
      </c>
      <c r="D633" s="83">
        <f t="shared" ref="D633:E635" si="53">D634</f>
        <v>2258000</v>
      </c>
      <c r="E633" s="83">
        <f t="shared" si="53"/>
        <v>2258000</v>
      </c>
      <c r="F633" s="84">
        <f t="shared" si="48"/>
        <v>0</v>
      </c>
    </row>
    <row r="634" spans="1:6" ht="34.5" x14ac:dyDescent="0.25">
      <c r="A634" s="90" t="s">
        <v>404</v>
      </c>
      <c r="B634" s="94" t="s">
        <v>390</v>
      </c>
      <c r="C634" s="91" t="s">
        <v>905</v>
      </c>
      <c r="D634" s="92">
        <f t="shared" si="53"/>
        <v>2258000</v>
      </c>
      <c r="E634" s="92">
        <f t="shared" si="53"/>
        <v>2258000</v>
      </c>
      <c r="F634" s="93">
        <f t="shared" si="48"/>
        <v>0</v>
      </c>
    </row>
    <row r="635" spans="1:6" ht="57.5" x14ac:dyDescent="0.25">
      <c r="A635" s="90" t="s">
        <v>722</v>
      </c>
      <c r="B635" s="94" t="s">
        <v>390</v>
      </c>
      <c r="C635" s="91" t="s">
        <v>906</v>
      </c>
      <c r="D635" s="92">
        <f t="shared" si="53"/>
        <v>2258000</v>
      </c>
      <c r="E635" s="92">
        <f t="shared" si="53"/>
        <v>2258000</v>
      </c>
      <c r="F635" s="93">
        <f t="shared" si="48"/>
        <v>0</v>
      </c>
    </row>
    <row r="636" spans="1:6" ht="34.5" x14ac:dyDescent="0.25">
      <c r="A636" s="90" t="s">
        <v>901</v>
      </c>
      <c r="B636" s="94" t="s">
        <v>390</v>
      </c>
      <c r="C636" s="91" t="s">
        <v>907</v>
      </c>
      <c r="D636" s="92">
        <f>D641+D645</f>
        <v>2258000</v>
      </c>
      <c r="E636" s="92">
        <f>E641+E645</f>
        <v>2258000</v>
      </c>
      <c r="F636" s="93">
        <f t="shared" si="48"/>
        <v>0</v>
      </c>
    </row>
    <row r="637" spans="1:6" ht="13" x14ac:dyDescent="0.25">
      <c r="A637" s="87" t="s">
        <v>121</v>
      </c>
      <c r="B637" s="94"/>
      <c r="C637" s="120"/>
      <c r="D637" s="92"/>
      <c r="E637" s="92"/>
      <c r="F637" s="93"/>
    </row>
    <row r="638" spans="1:6" ht="13.5" x14ac:dyDescent="0.3">
      <c r="A638" s="97" t="s">
        <v>414</v>
      </c>
      <c r="B638" s="81" t="s">
        <v>390</v>
      </c>
      <c r="C638" s="88" t="s">
        <v>904</v>
      </c>
      <c r="D638" s="83">
        <f t="shared" ref="D638:E640" si="54">D639</f>
        <v>700000</v>
      </c>
      <c r="E638" s="83">
        <f t="shared" si="54"/>
        <v>700000</v>
      </c>
      <c r="F638" s="84">
        <f t="shared" ref="F638:F645" si="55">D638-E638</f>
        <v>0</v>
      </c>
    </row>
    <row r="639" spans="1:6" ht="34.5" x14ac:dyDescent="0.25">
      <c r="A639" s="90" t="s">
        <v>404</v>
      </c>
      <c r="B639" s="94" t="s">
        <v>390</v>
      </c>
      <c r="C639" s="91" t="s">
        <v>905</v>
      </c>
      <c r="D639" s="92">
        <f t="shared" si="54"/>
        <v>700000</v>
      </c>
      <c r="E639" s="92">
        <f t="shared" si="54"/>
        <v>700000</v>
      </c>
      <c r="F639" s="93">
        <f t="shared" si="55"/>
        <v>0</v>
      </c>
    </row>
    <row r="640" spans="1:6" ht="57.5" x14ac:dyDescent="0.25">
      <c r="A640" s="90" t="s">
        <v>722</v>
      </c>
      <c r="B640" s="94" t="s">
        <v>390</v>
      </c>
      <c r="C640" s="91" t="s">
        <v>906</v>
      </c>
      <c r="D640" s="92">
        <f t="shared" si="54"/>
        <v>700000</v>
      </c>
      <c r="E640" s="92">
        <f t="shared" si="54"/>
        <v>700000</v>
      </c>
      <c r="F640" s="93">
        <f t="shared" si="55"/>
        <v>0</v>
      </c>
    </row>
    <row r="641" spans="1:6" ht="34.5" x14ac:dyDescent="0.25">
      <c r="A641" s="90" t="s">
        <v>901</v>
      </c>
      <c r="B641" s="94" t="s">
        <v>390</v>
      </c>
      <c r="C641" s="91" t="s">
        <v>907</v>
      </c>
      <c r="D641" s="92">
        <f>700000</f>
        <v>700000</v>
      </c>
      <c r="E641" s="92">
        <f>700000</f>
        <v>700000</v>
      </c>
      <c r="F641" s="93">
        <f t="shared" si="55"/>
        <v>0</v>
      </c>
    </row>
    <row r="642" spans="1:6" ht="13.5" x14ac:dyDescent="0.3">
      <c r="A642" s="97" t="s">
        <v>415</v>
      </c>
      <c r="B642" s="81" t="s">
        <v>390</v>
      </c>
      <c r="C642" s="88" t="s">
        <v>904</v>
      </c>
      <c r="D642" s="83">
        <f t="shared" ref="D642:E644" si="56">D643</f>
        <v>1558000</v>
      </c>
      <c r="E642" s="83">
        <f t="shared" si="56"/>
        <v>1558000</v>
      </c>
      <c r="F642" s="84">
        <f t="shared" si="55"/>
        <v>0</v>
      </c>
    </row>
    <row r="643" spans="1:6" ht="34.5" x14ac:dyDescent="0.25">
      <c r="A643" s="90" t="s">
        <v>404</v>
      </c>
      <c r="B643" s="94" t="s">
        <v>390</v>
      </c>
      <c r="C643" s="91" t="s">
        <v>905</v>
      </c>
      <c r="D643" s="92">
        <f t="shared" si="56"/>
        <v>1558000</v>
      </c>
      <c r="E643" s="92">
        <f t="shared" si="56"/>
        <v>1558000</v>
      </c>
      <c r="F643" s="93">
        <f t="shared" si="55"/>
        <v>0</v>
      </c>
    </row>
    <row r="644" spans="1:6" ht="57.5" x14ac:dyDescent="0.25">
      <c r="A644" s="90" t="s">
        <v>722</v>
      </c>
      <c r="B644" s="94" t="s">
        <v>390</v>
      </c>
      <c r="C644" s="91" t="s">
        <v>906</v>
      </c>
      <c r="D644" s="92">
        <f t="shared" si="56"/>
        <v>1558000</v>
      </c>
      <c r="E644" s="92">
        <f t="shared" si="56"/>
        <v>1558000</v>
      </c>
      <c r="F644" s="93">
        <f t="shared" si="55"/>
        <v>0</v>
      </c>
    </row>
    <row r="645" spans="1:6" ht="34.5" x14ac:dyDescent="0.25">
      <c r="A645" s="90" t="s">
        <v>901</v>
      </c>
      <c r="B645" s="94" t="s">
        <v>390</v>
      </c>
      <c r="C645" s="91" t="s">
        <v>907</v>
      </c>
      <c r="D645" s="92">
        <v>1558000</v>
      </c>
      <c r="E645" s="92">
        <v>1558000</v>
      </c>
      <c r="F645" s="93">
        <f t="shared" si="55"/>
        <v>0</v>
      </c>
    </row>
    <row r="646" spans="1:6" ht="13" hidden="1" x14ac:dyDescent="0.3">
      <c r="A646" s="87" t="s">
        <v>908</v>
      </c>
      <c r="B646" s="81" t="s">
        <v>390</v>
      </c>
      <c r="C646" s="107" t="s">
        <v>909</v>
      </c>
      <c r="D646" s="83">
        <f t="shared" ref="D646:E650" si="57">D647</f>
        <v>0</v>
      </c>
      <c r="E646" s="83">
        <f t="shared" si="57"/>
        <v>0</v>
      </c>
      <c r="F646" s="84">
        <f t="shared" si="48"/>
        <v>0</v>
      </c>
    </row>
    <row r="647" spans="1:6" ht="39" hidden="1" x14ac:dyDescent="0.3">
      <c r="A647" s="87" t="s">
        <v>910</v>
      </c>
      <c r="B647" s="81" t="s">
        <v>390</v>
      </c>
      <c r="C647" s="88" t="s">
        <v>911</v>
      </c>
      <c r="D647" s="83">
        <f t="shared" si="57"/>
        <v>0</v>
      </c>
      <c r="E647" s="83">
        <f t="shared" si="57"/>
        <v>0</v>
      </c>
      <c r="F647" s="84">
        <f t="shared" si="48"/>
        <v>0</v>
      </c>
    </row>
    <row r="648" spans="1:6" ht="69" hidden="1" x14ac:dyDescent="0.3">
      <c r="A648" s="89" t="s">
        <v>912</v>
      </c>
      <c r="B648" s="81" t="s">
        <v>390</v>
      </c>
      <c r="C648" s="88" t="s">
        <v>913</v>
      </c>
      <c r="D648" s="83">
        <f t="shared" si="57"/>
        <v>0</v>
      </c>
      <c r="E648" s="83">
        <f t="shared" si="57"/>
        <v>0</v>
      </c>
      <c r="F648" s="84">
        <f t="shared" si="48"/>
        <v>0</v>
      </c>
    </row>
    <row r="649" spans="1:6" ht="23" hidden="1" x14ac:dyDescent="0.25">
      <c r="A649" s="90" t="s">
        <v>492</v>
      </c>
      <c r="B649" s="94" t="s">
        <v>390</v>
      </c>
      <c r="C649" s="91" t="s">
        <v>914</v>
      </c>
      <c r="D649" s="92">
        <f t="shared" si="57"/>
        <v>0</v>
      </c>
      <c r="E649" s="92">
        <f t="shared" si="57"/>
        <v>0</v>
      </c>
      <c r="F649" s="93">
        <f t="shared" si="48"/>
        <v>0</v>
      </c>
    </row>
    <row r="650" spans="1:6" ht="34.5" hidden="1" x14ac:dyDescent="0.25">
      <c r="A650" s="119" t="s">
        <v>398</v>
      </c>
      <c r="B650" s="94" t="s">
        <v>390</v>
      </c>
      <c r="C650" s="91" t="s">
        <v>915</v>
      </c>
      <c r="D650" s="92">
        <f t="shared" si="57"/>
        <v>0</v>
      </c>
      <c r="E650" s="92">
        <f t="shared" si="57"/>
        <v>0</v>
      </c>
      <c r="F650" s="93">
        <f t="shared" si="48"/>
        <v>0</v>
      </c>
    </row>
    <row r="651" spans="1:6" hidden="1" x14ac:dyDescent="0.25">
      <c r="A651" s="90" t="s">
        <v>400</v>
      </c>
      <c r="B651" s="94" t="s">
        <v>390</v>
      </c>
      <c r="C651" s="91" t="s">
        <v>916</v>
      </c>
      <c r="D651" s="92">
        <f>144620-144620</f>
        <v>0</v>
      </c>
      <c r="E651" s="92"/>
      <c r="F651" s="93">
        <f t="shared" si="48"/>
        <v>0</v>
      </c>
    </row>
    <row r="652" spans="1:6" ht="13" x14ac:dyDescent="0.3">
      <c r="A652" s="87" t="s">
        <v>917</v>
      </c>
      <c r="B652" s="81" t="s">
        <v>390</v>
      </c>
      <c r="C652" s="107" t="s">
        <v>918</v>
      </c>
      <c r="D652" s="83">
        <f>D653+D667</f>
        <v>16159648</v>
      </c>
      <c r="E652" s="83">
        <f>E653+E667</f>
        <v>15282086.9</v>
      </c>
      <c r="F652" s="84">
        <f t="shared" si="48"/>
        <v>877561.09999999963</v>
      </c>
    </row>
    <row r="653" spans="1:6" ht="39" x14ac:dyDescent="0.3">
      <c r="A653" s="87" t="s">
        <v>919</v>
      </c>
      <c r="B653" s="81" t="s">
        <v>390</v>
      </c>
      <c r="C653" s="88" t="s">
        <v>920</v>
      </c>
      <c r="D653" s="83">
        <f t="shared" ref="D653:E656" si="58">D654</f>
        <v>7400000</v>
      </c>
      <c r="E653" s="83">
        <f t="shared" si="58"/>
        <v>7400000</v>
      </c>
      <c r="F653" s="84">
        <f>D653-E653</f>
        <v>0</v>
      </c>
    </row>
    <row r="654" spans="1:6" ht="83.15" customHeight="1" x14ac:dyDescent="0.3">
      <c r="A654" s="89" t="s">
        <v>921</v>
      </c>
      <c r="B654" s="81" t="s">
        <v>390</v>
      </c>
      <c r="C654" s="88" t="s">
        <v>922</v>
      </c>
      <c r="D654" s="83">
        <f t="shared" si="58"/>
        <v>7400000</v>
      </c>
      <c r="E654" s="83">
        <f t="shared" si="58"/>
        <v>7400000</v>
      </c>
      <c r="F654" s="84">
        <f>D654-E654</f>
        <v>0</v>
      </c>
    </row>
    <row r="655" spans="1:6" ht="23" x14ac:dyDescent="0.25">
      <c r="A655" s="90" t="s">
        <v>492</v>
      </c>
      <c r="B655" s="94" t="s">
        <v>390</v>
      </c>
      <c r="C655" s="91" t="s">
        <v>923</v>
      </c>
      <c r="D655" s="92">
        <f t="shared" si="58"/>
        <v>7400000</v>
      </c>
      <c r="E655" s="92">
        <f t="shared" si="58"/>
        <v>7400000</v>
      </c>
      <c r="F655" s="93">
        <f>D655-E655</f>
        <v>0</v>
      </c>
    </row>
    <row r="656" spans="1:6" ht="34.5" x14ac:dyDescent="0.25">
      <c r="A656" s="119" t="s">
        <v>398</v>
      </c>
      <c r="B656" s="94" t="s">
        <v>390</v>
      </c>
      <c r="C656" s="91" t="s">
        <v>924</v>
      </c>
      <c r="D656" s="92">
        <f t="shared" si="58"/>
        <v>7400000</v>
      </c>
      <c r="E656" s="92">
        <f t="shared" si="58"/>
        <v>7400000</v>
      </c>
      <c r="F656" s="93">
        <f>D656-E656</f>
        <v>0</v>
      </c>
    </row>
    <row r="657" spans="1:6" x14ac:dyDescent="0.25">
      <c r="A657" s="90" t="s">
        <v>400</v>
      </c>
      <c r="B657" s="94" t="s">
        <v>390</v>
      </c>
      <c r="C657" s="91" t="s">
        <v>925</v>
      </c>
      <c r="D657" s="92">
        <f>D662+D666</f>
        <v>7400000</v>
      </c>
      <c r="E657" s="92">
        <f>E662+E666</f>
        <v>7400000</v>
      </c>
      <c r="F657" s="93">
        <f>D657-E657</f>
        <v>0</v>
      </c>
    </row>
    <row r="658" spans="1:6" ht="13" x14ac:dyDescent="0.25">
      <c r="A658" s="87" t="s">
        <v>121</v>
      </c>
      <c r="B658" s="94"/>
      <c r="C658" s="91"/>
      <c r="D658" s="92"/>
      <c r="E658" s="92"/>
      <c r="F658" s="93"/>
    </row>
    <row r="659" spans="1:6" ht="13.5" x14ac:dyDescent="0.3">
      <c r="A659" s="97" t="s">
        <v>414</v>
      </c>
      <c r="B659" s="81" t="s">
        <v>390</v>
      </c>
      <c r="C659" s="88" t="s">
        <v>922</v>
      </c>
      <c r="D659" s="83">
        <f t="shared" ref="D659:E665" si="59">D660</f>
        <v>2294000</v>
      </c>
      <c r="E659" s="83">
        <f t="shared" si="59"/>
        <v>2294000</v>
      </c>
      <c r="F659" s="84">
        <f t="shared" ref="F659:F666" si="60">D659-E659</f>
        <v>0</v>
      </c>
    </row>
    <row r="660" spans="1:6" ht="34.5" x14ac:dyDescent="0.25">
      <c r="A660" s="90" t="s">
        <v>926</v>
      </c>
      <c r="B660" s="94" t="s">
        <v>390</v>
      </c>
      <c r="C660" s="91" t="s">
        <v>923</v>
      </c>
      <c r="D660" s="92">
        <f t="shared" si="59"/>
        <v>2294000</v>
      </c>
      <c r="E660" s="92">
        <f t="shared" si="59"/>
        <v>2294000</v>
      </c>
      <c r="F660" s="93">
        <f t="shared" si="60"/>
        <v>0</v>
      </c>
    </row>
    <row r="661" spans="1:6" ht="34.5" x14ac:dyDescent="0.25">
      <c r="A661" s="121" t="s">
        <v>398</v>
      </c>
      <c r="B661" s="94" t="s">
        <v>390</v>
      </c>
      <c r="C661" s="91" t="s">
        <v>924</v>
      </c>
      <c r="D661" s="92">
        <f t="shared" si="59"/>
        <v>2294000</v>
      </c>
      <c r="E661" s="92">
        <f t="shared" si="59"/>
        <v>2294000</v>
      </c>
      <c r="F661" s="93">
        <f t="shared" si="60"/>
        <v>0</v>
      </c>
    </row>
    <row r="662" spans="1:6" x14ac:dyDescent="0.25">
      <c r="A662" s="90" t="s">
        <v>400</v>
      </c>
      <c r="B662" s="94" t="s">
        <v>390</v>
      </c>
      <c r="C662" s="91" t="s">
        <v>925</v>
      </c>
      <c r="D662" s="92">
        <f>2480000-186000</f>
        <v>2294000</v>
      </c>
      <c r="E662" s="92">
        <f>2480000-186000</f>
        <v>2294000</v>
      </c>
      <c r="F662" s="93">
        <f t="shared" si="60"/>
        <v>0</v>
      </c>
    </row>
    <row r="663" spans="1:6" ht="13.5" x14ac:dyDescent="0.3">
      <c r="A663" s="97" t="s">
        <v>415</v>
      </c>
      <c r="B663" s="81" t="s">
        <v>390</v>
      </c>
      <c r="C663" s="88" t="s">
        <v>922</v>
      </c>
      <c r="D663" s="83">
        <f t="shared" si="59"/>
        <v>5106000</v>
      </c>
      <c r="E663" s="83">
        <f t="shared" si="59"/>
        <v>5106000</v>
      </c>
      <c r="F663" s="84">
        <f t="shared" si="60"/>
        <v>0</v>
      </c>
    </row>
    <row r="664" spans="1:6" ht="34.5" x14ac:dyDescent="0.25">
      <c r="A664" s="90" t="s">
        <v>926</v>
      </c>
      <c r="B664" s="94" t="s">
        <v>390</v>
      </c>
      <c r="C664" s="91" t="s">
        <v>923</v>
      </c>
      <c r="D664" s="92">
        <f t="shared" si="59"/>
        <v>5106000</v>
      </c>
      <c r="E664" s="92">
        <f t="shared" si="59"/>
        <v>5106000</v>
      </c>
      <c r="F664" s="93">
        <f t="shared" si="60"/>
        <v>0</v>
      </c>
    </row>
    <row r="665" spans="1:6" ht="34.5" x14ac:dyDescent="0.25">
      <c r="A665" s="121" t="s">
        <v>398</v>
      </c>
      <c r="B665" s="94" t="s">
        <v>390</v>
      </c>
      <c r="C665" s="91" t="s">
        <v>924</v>
      </c>
      <c r="D665" s="92">
        <f t="shared" si="59"/>
        <v>5106000</v>
      </c>
      <c r="E665" s="92">
        <f t="shared" si="59"/>
        <v>5106000</v>
      </c>
      <c r="F665" s="93">
        <f t="shared" si="60"/>
        <v>0</v>
      </c>
    </row>
    <row r="666" spans="1:6" x14ac:dyDescent="0.25">
      <c r="A666" s="90" t="s">
        <v>400</v>
      </c>
      <c r="B666" s="94" t="s">
        <v>390</v>
      </c>
      <c r="C666" s="91" t="s">
        <v>925</v>
      </c>
      <c r="D666" s="92">
        <f>4626860+893140-414000</f>
        <v>5106000</v>
      </c>
      <c r="E666" s="92">
        <v>5106000</v>
      </c>
      <c r="F666" s="93">
        <f t="shared" si="60"/>
        <v>0</v>
      </c>
    </row>
    <row r="667" spans="1:6" ht="78" x14ac:dyDescent="0.3">
      <c r="A667" s="87" t="s">
        <v>927</v>
      </c>
      <c r="B667" s="81" t="s">
        <v>390</v>
      </c>
      <c r="C667" s="88" t="s">
        <v>928</v>
      </c>
      <c r="D667" s="83">
        <f t="shared" ref="D667:E669" si="61">D668</f>
        <v>8759648</v>
      </c>
      <c r="E667" s="83">
        <f t="shared" si="61"/>
        <v>7882086.9000000004</v>
      </c>
      <c r="F667" s="84">
        <f t="shared" si="48"/>
        <v>877561.09999999963</v>
      </c>
    </row>
    <row r="668" spans="1:6" ht="23" x14ac:dyDescent="0.25">
      <c r="A668" s="90" t="s">
        <v>492</v>
      </c>
      <c r="B668" s="94" t="s">
        <v>390</v>
      </c>
      <c r="C668" s="91" t="s">
        <v>929</v>
      </c>
      <c r="D668" s="92">
        <f t="shared" si="61"/>
        <v>8759648</v>
      </c>
      <c r="E668" s="92">
        <f t="shared" si="61"/>
        <v>7882086.9000000004</v>
      </c>
      <c r="F668" s="93">
        <f t="shared" si="48"/>
        <v>877561.09999999963</v>
      </c>
    </row>
    <row r="669" spans="1:6" ht="34.5" x14ac:dyDescent="0.25">
      <c r="A669" s="119" t="s">
        <v>398</v>
      </c>
      <c r="B669" s="94" t="s">
        <v>390</v>
      </c>
      <c r="C669" s="91" t="s">
        <v>930</v>
      </c>
      <c r="D669" s="92">
        <f t="shared" si="61"/>
        <v>8759648</v>
      </c>
      <c r="E669" s="92">
        <f t="shared" si="61"/>
        <v>7882086.9000000004</v>
      </c>
      <c r="F669" s="93">
        <f t="shared" si="48"/>
        <v>877561.09999999963</v>
      </c>
    </row>
    <row r="670" spans="1:6" x14ac:dyDescent="0.25">
      <c r="A670" s="90" t="s">
        <v>400</v>
      </c>
      <c r="B670" s="94" t="s">
        <v>390</v>
      </c>
      <c r="C670" s="91" t="s">
        <v>931</v>
      </c>
      <c r="D670" s="92">
        <v>8759648</v>
      </c>
      <c r="E670" s="92">
        <v>7882086.9000000004</v>
      </c>
      <c r="F670" s="93">
        <f t="shared" si="48"/>
        <v>877561.09999999963</v>
      </c>
    </row>
    <row r="671" spans="1:6" ht="26" x14ac:dyDescent="0.3">
      <c r="A671" s="87" t="s">
        <v>932</v>
      </c>
      <c r="B671" s="81" t="s">
        <v>390</v>
      </c>
      <c r="C671" s="107" t="s">
        <v>933</v>
      </c>
      <c r="D671" s="83">
        <f>D672+D698+D716</f>
        <v>119573381</v>
      </c>
      <c r="E671" s="83">
        <f>E672+E698+E716</f>
        <v>118970818.03</v>
      </c>
      <c r="F671" s="84">
        <f t="shared" si="48"/>
        <v>602562.96999999881</v>
      </c>
    </row>
    <row r="672" spans="1:6" ht="39" x14ac:dyDescent="0.3">
      <c r="A672" s="87" t="s">
        <v>919</v>
      </c>
      <c r="B672" s="81" t="s">
        <v>390</v>
      </c>
      <c r="C672" s="88" t="s">
        <v>934</v>
      </c>
      <c r="D672" s="83">
        <f>D673+D677+D681+D685</f>
        <v>112074092.55</v>
      </c>
      <c r="E672" s="83">
        <f>E673+E677+E681+E685</f>
        <v>111471529.58</v>
      </c>
      <c r="F672" s="84">
        <f t="shared" si="48"/>
        <v>602562.96999999881</v>
      </c>
    </row>
    <row r="673" spans="1:6" ht="46" x14ac:dyDescent="0.3">
      <c r="A673" s="89" t="s">
        <v>935</v>
      </c>
      <c r="B673" s="81" t="s">
        <v>390</v>
      </c>
      <c r="C673" s="88" t="s">
        <v>936</v>
      </c>
      <c r="D673" s="83">
        <f t="shared" ref="D673:E675" si="62">D674</f>
        <v>3000000</v>
      </c>
      <c r="E673" s="83">
        <f t="shared" si="62"/>
        <v>3000000</v>
      </c>
      <c r="F673" s="84">
        <f t="shared" si="48"/>
        <v>0</v>
      </c>
    </row>
    <row r="674" spans="1:6" ht="34.5" x14ac:dyDescent="0.25">
      <c r="A674" s="90" t="s">
        <v>926</v>
      </c>
      <c r="B674" s="94" t="s">
        <v>390</v>
      </c>
      <c r="C674" s="91" t="s">
        <v>937</v>
      </c>
      <c r="D674" s="92">
        <f t="shared" si="62"/>
        <v>3000000</v>
      </c>
      <c r="E674" s="92">
        <f t="shared" si="62"/>
        <v>3000000</v>
      </c>
      <c r="F674" s="93">
        <f t="shared" si="48"/>
        <v>0</v>
      </c>
    </row>
    <row r="675" spans="1:6" ht="34.5" x14ac:dyDescent="0.25">
      <c r="A675" s="121" t="s">
        <v>398</v>
      </c>
      <c r="B675" s="94" t="s">
        <v>390</v>
      </c>
      <c r="C675" s="91" t="s">
        <v>938</v>
      </c>
      <c r="D675" s="92">
        <f t="shared" si="62"/>
        <v>3000000</v>
      </c>
      <c r="E675" s="92">
        <f t="shared" si="62"/>
        <v>3000000</v>
      </c>
      <c r="F675" s="93">
        <f t="shared" si="48"/>
        <v>0</v>
      </c>
    </row>
    <row r="676" spans="1:6" x14ac:dyDescent="0.25">
      <c r="A676" s="90" t="s">
        <v>400</v>
      </c>
      <c r="B676" s="94" t="s">
        <v>390</v>
      </c>
      <c r="C676" s="91" t="s">
        <v>939</v>
      </c>
      <c r="D676" s="92">
        <v>3000000</v>
      </c>
      <c r="E676" s="92">
        <v>3000000</v>
      </c>
      <c r="F676" s="93">
        <f t="shared" si="48"/>
        <v>0</v>
      </c>
    </row>
    <row r="677" spans="1:6" ht="69" hidden="1" x14ac:dyDescent="0.3">
      <c r="A677" s="89" t="s">
        <v>940</v>
      </c>
      <c r="B677" s="81" t="s">
        <v>390</v>
      </c>
      <c r="C677" s="88" t="s">
        <v>941</v>
      </c>
      <c r="D677" s="83">
        <f t="shared" ref="D677:E679" si="63">D678</f>
        <v>0</v>
      </c>
      <c r="E677" s="83">
        <f t="shared" si="63"/>
        <v>0</v>
      </c>
      <c r="F677" s="84">
        <f t="shared" si="48"/>
        <v>0</v>
      </c>
    </row>
    <row r="678" spans="1:6" ht="34.5" hidden="1" x14ac:dyDescent="0.25">
      <c r="A678" s="90" t="s">
        <v>926</v>
      </c>
      <c r="B678" s="94" t="s">
        <v>390</v>
      </c>
      <c r="C678" s="91" t="s">
        <v>942</v>
      </c>
      <c r="D678" s="92">
        <f t="shared" si="63"/>
        <v>0</v>
      </c>
      <c r="E678" s="92">
        <f t="shared" si="63"/>
        <v>0</v>
      </c>
      <c r="F678" s="93">
        <f t="shared" si="48"/>
        <v>0</v>
      </c>
    </row>
    <row r="679" spans="1:6" ht="34.5" hidden="1" x14ac:dyDescent="0.25">
      <c r="A679" s="121" t="s">
        <v>398</v>
      </c>
      <c r="B679" s="94" t="s">
        <v>390</v>
      </c>
      <c r="C679" s="91" t="s">
        <v>943</v>
      </c>
      <c r="D679" s="92">
        <f t="shared" si="63"/>
        <v>0</v>
      </c>
      <c r="E679" s="92">
        <f t="shared" si="63"/>
        <v>0</v>
      </c>
      <c r="F679" s="93">
        <f t="shared" si="48"/>
        <v>0</v>
      </c>
    </row>
    <row r="680" spans="1:6" hidden="1" x14ac:dyDescent="0.25">
      <c r="A680" s="90" t="s">
        <v>400</v>
      </c>
      <c r="B680" s="94" t="s">
        <v>390</v>
      </c>
      <c r="C680" s="91" t="s">
        <v>944</v>
      </c>
      <c r="D680" s="92"/>
      <c r="E680" s="92"/>
      <c r="F680" s="93">
        <f t="shared" si="48"/>
        <v>0</v>
      </c>
    </row>
    <row r="681" spans="1:6" ht="51" customHeight="1" x14ac:dyDescent="0.3">
      <c r="A681" s="89" t="s">
        <v>945</v>
      </c>
      <c r="B681" s="81" t="s">
        <v>390</v>
      </c>
      <c r="C681" s="88" t="s">
        <v>946</v>
      </c>
      <c r="D681" s="83">
        <f t="shared" ref="D681:E687" si="64">D682</f>
        <v>37388170.049999997</v>
      </c>
      <c r="E681" s="83">
        <f t="shared" si="64"/>
        <v>36785607.079999998</v>
      </c>
      <c r="F681" s="84">
        <f t="shared" si="48"/>
        <v>602562.96999999881</v>
      </c>
    </row>
    <row r="682" spans="1:6" ht="23" x14ac:dyDescent="0.25">
      <c r="A682" s="90" t="s">
        <v>492</v>
      </c>
      <c r="B682" s="94" t="s">
        <v>390</v>
      </c>
      <c r="C682" s="91" t="s">
        <v>947</v>
      </c>
      <c r="D682" s="92">
        <f t="shared" si="64"/>
        <v>37388170.049999997</v>
      </c>
      <c r="E682" s="92">
        <f t="shared" si="64"/>
        <v>36785607.079999998</v>
      </c>
      <c r="F682" s="93">
        <f t="shared" si="48"/>
        <v>602562.96999999881</v>
      </c>
    </row>
    <row r="683" spans="1:6" ht="34.5" x14ac:dyDescent="0.25">
      <c r="A683" s="90" t="s">
        <v>398</v>
      </c>
      <c r="B683" s="94" t="s">
        <v>390</v>
      </c>
      <c r="C683" s="91" t="s">
        <v>948</v>
      </c>
      <c r="D683" s="92">
        <f t="shared" si="64"/>
        <v>37388170.049999997</v>
      </c>
      <c r="E683" s="92">
        <f t="shared" si="64"/>
        <v>36785607.079999998</v>
      </c>
      <c r="F683" s="93">
        <f t="shared" si="48"/>
        <v>602562.96999999881</v>
      </c>
    </row>
    <row r="684" spans="1:6" x14ac:dyDescent="0.25">
      <c r="A684" s="90" t="s">
        <v>400</v>
      </c>
      <c r="B684" s="94" t="s">
        <v>390</v>
      </c>
      <c r="C684" s="91" t="s">
        <v>949</v>
      </c>
      <c r="D684" s="92">
        <v>37388170.049999997</v>
      </c>
      <c r="E684" s="92">
        <v>36785607.079999998</v>
      </c>
      <c r="F684" s="93">
        <f t="shared" si="48"/>
        <v>602562.96999999881</v>
      </c>
    </row>
    <row r="685" spans="1:6" ht="126.5" x14ac:dyDescent="0.3">
      <c r="A685" s="89" t="s">
        <v>950</v>
      </c>
      <c r="B685" s="81" t="s">
        <v>390</v>
      </c>
      <c r="C685" s="88" t="s">
        <v>951</v>
      </c>
      <c r="D685" s="83">
        <f t="shared" si="64"/>
        <v>71685922.5</v>
      </c>
      <c r="E685" s="83">
        <f t="shared" si="64"/>
        <v>71685922.5</v>
      </c>
      <c r="F685" s="84">
        <f t="shared" si="48"/>
        <v>0</v>
      </c>
    </row>
    <row r="686" spans="1:6" ht="23" x14ac:dyDescent="0.25">
      <c r="A686" s="90" t="s">
        <v>492</v>
      </c>
      <c r="B686" s="94" t="s">
        <v>390</v>
      </c>
      <c r="C686" s="91" t="s">
        <v>952</v>
      </c>
      <c r="D686" s="92">
        <f t="shared" si="64"/>
        <v>71685922.5</v>
      </c>
      <c r="E686" s="92">
        <f t="shared" si="64"/>
        <v>71685922.5</v>
      </c>
      <c r="F686" s="93">
        <f t="shared" si="48"/>
        <v>0</v>
      </c>
    </row>
    <row r="687" spans="1:6" ht="34.5" x14ac:dyDescent="0.25">
      <c r="A687" s="90" t="s">
        <v>398</v>
      </c>
      <c r="B687" s="94" t="s">
        <v>390</v>
      </c>
      <c r="C687" s="91" t="s">
        <v>953</v>
      </c>
      <c r="D687" s="92">
        <f t="shared" si="64"/>
        <v>71685922.5</v>
      </c>
      <c r="E687" s="92">
        <f t="shared" si="64"/>
        <v>71685922.5</v>
      </c>
      <c r="F687" s="93">
        <f t="shared" si="48"/>
        <v>0</v>
      </c>
    </row>
    <row r="688" spans="1:6" x14ac:dyDescent="0.25">
      <c r="A688" s="90" t="s">
        <v>400</v>
      </c>
      <c r="B688" s="94" t="s">
        <v>390</v>
      </c>
      <c r="C688" s="91" t="s">
        <v>954</v>
      </c>
      <c r="D688" s="92">
        <f>D693+D697</f>
        <v>71685922.5</v>
      </c>
      <c r="E688" s="92">
        <f>E693+E697</f>
        <v>71685922.5</v>
      </c>
      <c r="F688" s="93">
        <f t="shared" si="48"/>
        <v>0</v>
      </c>
    </row>
    <row r="689" spans="1:6" ht="13" x14ac:dyDescent="0.25">
      <c r="A689" s="87" t="s">
        <v>121</v>
      </c>
      <c r="B689" s="94"/>
      <c r="C689" s="91"/>
      <c r="D689" s="92"/>
      <c r="E689" s="92"/>
      <c r="F689" s="93"/>
    </row>
    <row r="690" spans="1:6" ht="13.5" x14ac:dyDescent="0.3">
      <c r="A690" s="97" t="s">
        <v>414</v>
      </c>
      <c r="B690" s="81" t="s">
        <v>390</v>
      </c>
      <c r="C690" s="88" t="s">
        <v>951</v>
      </c>
      <c r="D690" s="83">
        <f t="shared" ref="D690:E696" si="65">D691</f>
        <v>7168592.5</v>
      </c>
      <c r="E690" s="83">
        <f t="shared" si="65"/>
        <v>7168592.5</v>
      </c>
      <c r="F690" s="84">
        <f t="shared" ref="F690:F697" si="66">D690-E690</f>
        <v>0</v>
      </c>
    </row>
    <row r="691" spans="1:6" ht="34.5" x14ac:dyDescent="0.3">
      <c r="A691" s="90" t="s">
        <v>926</v>
      </c>
      <c r="B691" s="94" t="s">
        <v>390</v>
      </c>
      <c r="C691" s="91" t="s">
        <v>952</v>
      </c>
      <c r="D691" s="92">
        <f t="shared" si="65"/>
        <v>7168592.5</v>
      </c>
      <c r="E691" s="92">
        <f t="shared" si="65"/>
        <v>7168592.5</v>
      </c>
      <c r="F691" s="84">
        <f t="shared" si="66"/>
        <v>0</v>
      </c>
    </row>
    <row r="692" spans="1:6" ht="34.5" x14ac:dyDescent="0.25">
      <c r="A692" s="121" t="s">
        <v>398</v>
      </c>
      <c r="B692" s="94" t="s">
        <v>390</v>
      </c>
      <c r="C692" s="91" t="s">
        <v>953</v>
      </c>
      <c r="D692" s="92">
        <f t="shared" si="65"/>
        <v>7168592.5</v>
      </c>
      <c r="E692" s="92">
        <f t="shared" si="65"/>
        <v>7168592.5</v>
      </c>
      <c r="F692" s="93">
        <f t="shared" si="66"/>
        <v>0</v>
      </c>
    </row>
    <row r="693" spans="1:6" x14ac:dyDescent="0.25">
      <c r="A693" s="90" t="s">
        <v>400</v>
      </c>
      <c r="B693" s="94" t="s">
        <v>390</v>
      </c>
      <c r="C693" s="91" t="s">
        <v>954</v>
      </c>
      <c r="D693" s="92">
        <v>7168592.5</v>
      </c>
      <c r="E693" s="92">
        <f>2275135.77+2781654.26+943501.12+1168301.35</f>
        <v>7168592.5</v>
      </c>
      <c r="F693" s="93">
        <f t="shared" si="66"/>
        <v>0</v>
      </c>
    </row>
    <row r="694" spans="1:6" ht="27" x14ac:dyDescent="0.3">
      <c r="A694" s="97" t="s">
        <v>955</v>
      </c>
      <c r="B694" s="81" t="s">
        <v>390</v>
      </c>
      <c r="C694" s="88" t="s">
        <v>951</v>
      </c>
      <c r="D694" s="83">
        <f t="shared" si="65"/>
        <v>64517330</v>
      </c>
      <c r="E694" s="83">
        <f t="shared" si="65"/>
        <v>64517329.999999993</v>
      </c>
      <c r="F694" s="84">
        <f t="shared" si="66"/>
        <v>0</v>
      </c>
    </row>
    <row r="695" spans="1:6" ht="34.5" x14ac:dyDescent="0.3">
      <c r="A695" s="90" t="s">
        <v>926</v>
      </c>
      <c r="B695" s="94" t="s">
        <v>390</v>
      </c>
      <c r="C695" s="91" t="s">
        <v>952</v>
      </c>
      <c r="D695" s="92">
        <f t="shared" si="65"/>
        <v>64517330</v>
      </c>
      <c r="E695" s="92">
        <f t="shared" si="65"/>
        <v>64517329.999999993</v>
      </c>
      <c r="F695" s="84">
        <f t="shared" si="66"/>
        <v>0</v>
      </c>
    </row>
    <row r="696" spans="1:6" ht="34.5" x14ac:dyDescent="0.25">
      <c r="A696" s="121" t="s">
        <v>398</v>
      </c>
      <c r="B696" s="94" t="s">
        <v>390</v>
      </c>
      <c r="C696" s="91" t="s">
        <v>953</v>
      </c>
      <c r="D696" s="92">
        <f t="shared" si="65"/>
        <v>64517330</v>
      </c>
      <c r="E696" s="92">
        <f t="shared" si="65"/>
        <v>64517329.999999993</v>
      </c>
      <c r="F696" s="93">
        <f t="shared" si="66"/>
        <v>0</v>
      </c>
    </row>
    <row r="697" spans="1:6" x14ac:dyDescent="0.25">
      <c r="A697" s="90" t="s">
        <v>400</v>
      </c>
      <c r="B697" s="94" t="s">
        <v>390</v>
      </c>
      <c r="C697" s="91" t="s">
        <v>954</v>
      </c>
      <c r="D697" s="92">
        <v>64517330</v>
      </c>
      <c r="E697" s="92">
        <f>20476221.15+25034887.4+8491509.66+10514711.79</f>
        <v>64517329.999999993</v>
      </c>
      <c r="F697" s="93">
        <f t="shared" si="66"/>
        <v>0</v>
      </c>
    </row>
    <row r="698" spans="1:6" ht="39" x14ac:dyDescent="0.3">
      <c r="A698" s="87" t="s">
        <v>956</v>
      </c>
      <c r="B698" s="81" t="s">
        <v>390</v>
      </c>
      <c r="C698" s="88" t="s">
        <v>957</v>
      </c>
      <c r="D698" s="83">
        <f>D699+D703</f>
        <v>2067665.26</v>
      </c>
      <c r="E698" s="83">
        <f>E699+E703</f>
        <v>2067665.26</v>
      </c>
      <c r="F698" s="84">
        <f t="shared" si="48"/>
        <v>0</v>
      </c>
    </row>
    <row r="699" spans="1:6" ht="57.5" x14ac:dyDescent="0.3">
      <c r="A699" s="89" t="s">
        <v>958</v>
      </c>
      <c r="B699" s="81" t="s">
        <v>390</v>
      </c>
      <c r="C699" s="88" t="s">
        <v>959</v>
      </c>
      <c r="D699" s="83">
        <f t="shared" ref="D699:E701" si="67">D700</f>
        <v>83025.259999999995</v>
      </c>
      <c r="E699" s="83">
        <f t="shared" si="67"/>
        <v>83025.259999999995</v>
      </c>
      <c r="F699" s="84">
        <f t="shared" si="48"/>
        <v>0</v>
      </c>
    </row>
    <row r="700" spans="1:6" ht="23" x14ac:dyDescent="0.25">
      <c r="A700" s="90" t="s">
        <v>492</v>
      </c>
      <c r="B700" s="94" t="s">
        <v>390</v>
      </c>
      <c r="C700" s="91" t="s">
        <v>960</v>
      </c>
      <c r="D700" s="92">
        <f t="shared" si="67"/>
        <v>83025.259999999995</v>
      </c>
      <c r="E700" s="92">
        <f t="shared" si="67"/>
        <v>83025.259999999995</v>
      </c>
      <c r="F700" s="93">
        <f t="shared" ref="F700:F706" si="68">D700-E700</f>
        <v>0</v>
      </c>
    </row>
    <row r="701" spans="1:6" ht="34.5" x14ac:dyDescent="0.25">
      <c r="A701" s="90" t="s">
        <v>398</v>
      </c>
      <c r="B701" s="94" t="s">
        <v>390</v>
      </c>
      <c r="C701" s="91" t="s">
        <v>961</v>
      </c>
      <c r="D701" s="92">
        <f t="shared" si="67"/>
        <v>83025.259999999995</v>
      </c>
      <c r="E701" s="92">
        <f t="shared" si="67"/>
        <v>83025.259999999995</v>
      </c>
      <c r="F701" s="93">
        <f t="shared" si="68"/>
        <v>0</v>
      </c>
    </row>
    <row r="702" spans="1:6" x14ac:dyDescent="0.25">
      <c r="A702" s="90" t="s">
        <v>400</v>
      </c>
      <c r="B702" s="94" t="s">
        <v>390</v>
      </c>
      <c r="C702" s="91" t="s">
        <v>962</v>
      </c>
      <c r="D702" s="92">
        <v>83025.259999999995</v>
      </c>
      <c r="E702" s="92">
        <v>83025.259999999995</v>
      </c>
      <c r="F702" s="93">
        <f t="shared" si="68"/>
        <v>0</v>
      </c>
    </row>
    <row r="703" spans="1:6" ht="94.5" customHeight="1" x14ac:dyDescent="0.3">
      <c r="A703" s="89" t="s">
        <v>963</v>
      </c>
      <c r="B703" s="81" t="s">
        <v>390</v>
      </c>
      <c r="C703" s="88" t="s">
        <v>964</v>
      </c>
      <c r="D703" s="83">
        <f t="shared" ref="D703:E705" si="69">D704</f>
        <v>1984640</v>
      </c>
      <c r="E703" s="83">
        <f t="shared" si="69"/>
        <v>1984640</v>
      </c>
      <c r="F703" s="84">
        <f t="shared" si="68"/>
        <v>0</v>
      </c>
    </row>
    <row r="704" spans="1:6" ht="23" x14ac:dyDescent="0.3">
      <c r="A704" s="90" t="s">
        <v>492</v>
      </c>
      <c r="B704" s="94" t="s">
        <v>390</v>
      </c>
      <c r="C704" s="91" t="s">
        <v>965</v>
      </c>
      <c r="D704" s="92">
        <f t="shared" si="69"/>
        <v>1984640</v>
      </c>
      <c r="E704" s="92">
        <f t="shared" si="69"/>
        <v>1984640</v>
      </c>
      <c r="F704" s="84">
        <f t="shared" si="68"/>
        <v>0</v>
      </c>
    </row>
    <row r="705" spans="1:6" ht="34.5" x14ac:dyDescent="0.25">
      <c r="A705" s="90" t="s">
        <v>398</v>
      </c>
      <c r="B705" s="94" t="s">
        <v>390</v>
      </c>
      <c r="C705" s="91" t="s">
        <v>966</v>
      </c>
      <c r="D705" s="92">
        <f t="shared" si="69"/>
        <v>1984640</v>
      </c>
      <c r="E705" s="92">
        <f t="shared" si="69"/>
        <v>1984640</v>
      </c>
      <c r="F705" s="93">
        <f t="shared" si="68"/>
        <v>0</v>
      </c>
    </row>
    <row r="706" spans="1:6" x14ac:dyDescent="0.25">
      <c r="A706" s="90" t="s">
        <v>400</v>
      </c>
      <c r="B706" s="94" t="s">
        <v>390</v>
      </c>
      <c r="C706" s="91" t="s">
        <v>967</v>
      </c>
      <c r="D706" s="92">
        <f>D711+D715</f>
        <v>1984640</v>
      </c>
      <c r="E706" s="92">
        <f>E711+E715</f>
        <v>1984640</v>
      </c>
      <c r="F706" s="93">
        <f t="shared" si="68"/>
        <v>0</v>
      </c>
    </row>
    <row r="707" spans="1:6" ht="13" x14ac:dyDescent="0.25">
      <c r="A707" s="87" t="s">
        <v>121</v>
      </c>
      <c r="B707" s="94"/>
      <c r="C707" s="91"/>
      <c r="D707" s="92"/>
      <c r="E707" s="92"/>
      <c r="F707" s="93"/>
    </row>
    <row r="708" spans="1:6" ht="13.5" x14ac:dyDescent="0.3">
      <c r="A708" s="97" t="s">
        <v>414</v>
      </c>
      <c r="B708" s="81" t="s">
        <v>390</v>
      </c>
      <c r="C708" s="88" t="s">
        <v>964</v>
      </c>
      <c r="D708" s="83">
        <f t="shared" ref="D708:E710" si="70">D709</f>
        <v>1200000</v>
      </c>
      <c r="E708" s="83">
        <f t="shared" si="70"/>
        <v>1200000</v>
      </c>
      <c r="F708" s="84">
        <f t="shared" ref="F708:F749" si="71">D708-E708</f>
        <v>0</v>
      </c>
    </row>
    <row r="709" spans="1:6" ht="23" x14ac:dyDescent="0.3">
      <c r="A709" s="90" t="s">
        <v>492</v>
      </c>
      <c r="B709" s="94" t="s">
        <v>390</v>
      </c>
      <c r="C709" s="91" t="s">
        <v>965</v>
      </c>
      <c r="D709" s="92">
        <f t="shared" si="70"/>
        <v>1200000</v>
      </c>
      <c r="E709" s="92">
        <f t="shared" si="70"/>
        <v>1200000</v>
      </c>
      <c r="F709" s="84">
        <f t="shared" si="71"/>
        <v>0</v>
      </c>
    </row>
    <row r="710" spans="1:6" ht="34.5" x14ac:dyDescent="0.25">
      <c r="A710" s="90" t="s">
        <v>398</v>
      </c>
      <c r="B710" s="94" t="s">
        <v>390</v>
      </c>
      <c r="C710" s="91" t="s">
        <v>966</v>
      </c>
      <c r="D710" s="92">
        <f t="shared" si="70"/>
        <v>1200000</v>
      </c>
      <c r="E710" s="92">
        <f t="shared" si="70"/>
        <v>1200000</v>
      </c>
      <c r="F710" s="93">
        <f t="shared" si="71"/>
        <v>0</v>
      </c>
    </row>
    <row r="711" spans="1:6" x14ac:dyDescent="0.25">
      <c r="A711" s="90" t="s">
        <v>400</v>
      </c>
      <c r="B711" s="94" t="s">
        <v>390</v>
      </c>
      <c r="C711" s="91" t="s">
        <v>967</v>
      </c>
      <c r="D711" s="92">
        <v>1200000</v>
      </c>
      <c r="E711" s="92">
        <v>1200000</v>
      </c>
      <c r="F711" s="93">
        <f t="shared" si="71"/>
        <v>0</v>
      </c>
    </row>
    <row r="712" spans="1:6" ht="13.5" x14ac:dyDescent="0.3">
      <c r="A712" s="97" t="s">
        <v>415</v>
      </c>
      <c r="B712" s="81" t="s">
        <v>390</v>
      </c>
      <c r="C712" s="88" t="s">
        <v>964</v>
      </c>
      <c r="D712" s="83">
        <f t="shared" ref="D712:E714" si="72">D713</f>
        <v>784640</v>
      </c>
      <c r="E712" s="83">
        <f t="shared" si="72"/>
        <v>784640</v>
      </c>
      <c r="F712" s="84">
        <f t="shared" si="71"/>
        <v>0</v>
      </c>
    </row>
    <row r="713" spans="1:6" ht="23" x14ac:dyDescent="0.3">
      <c r="A713" s="90" t="s">
        <v>492</v>
      </c>
      <c r="B713" s="94" t="s">
        <v>390</v>
      </c>
      <c r="C713" s="91" t="s">
        <v>965</v>
      </c>
      <c r="D713" s="92">
        <f t="shared" si="72"/>
        <v>784640</v>
      </c>
      <c r="E713" s="92">
        <f t="shared" si="72"/>
        <v>784640</v>
      </c>
      <c r="F713" s="84">
        <f t="shared" si="71"/>
        <v>0</v>
      </c>
    </row>
    <row r="714" spans="1:6" ht="34.5" x14ac:dyDescent="0.25">
      <c r="A714" s="90" t="s">
        <v>398</v>
      </c>
      <c r="B714" s="94" t="s">
        <v>390</v>
      </c>
      <c r="C714" s="91" t="s">
        <v>966</v>
      </c>
      <c r="D714" s="92">
        <f t="shared" si="72"/>
        <v>784640</v>
      </c>
      <c r="E714" s="92">
        <f t="shared" si="72"/>
        <v>784640</v>
      </c>
      <c r="F714" s="93">
        <f t="shared" si="71"/>
        <v>0</v>
      </c>
    </row>
    <row r="715" spans="1:6" x14ac:dyDescent="0.25">
      <c r="A715" s="90" t="s">
        <v>400</v>
      </c>
      <c r="B715" s="94" t="s">
        <v>390</v>
      </c>
      <c r="C715" s="91" t="s">
        <v>967</v>
      </c>
      <c r="D715" s="92">
        <v>784640</v>
      </c>
      <c r="E715" s="92">
        <v>784640</v>
      </c>
      <c r="F715" s="93">
        <f t="shared" si="71"/>
        <v>0</v>
      </c>
    </row>
    <row r="716" spans="1:6" ht="39" x14ac:dyDescent="0.3">
      <c r="A716" s="87" t="s">
        <v>968</v>
      </c>
      <c r="B716" s="108" t="s">
        <v>390</v>
      </c>
      <c r="C716" s="88" t="s">
        <v>969</v>
      </c>
      <c r="D716" s="83">
        <f>D717</f>
        <v>5431623.1899999995</v>
      </c>
      <c r="E716" s="83">
        <f>E717</f>
        <v>5431623.1899999995</v>
      </c>
      <c r="F716" s="84">
        <f t="shared" si="71"/>
        <v>0</v>
      </c>
    </row>
    <row r="717" spans="1:6" ht="83.15" customHeight="1" x14ac:dyDescent="0.3">
      <c r="A717" s="89" t="s">
        <v>970</v>
      </c>
      <c r="B717" s="81" t="s">
        <v>390</v>
      </c>
      <c r="C717" s="88" t="s">
        <v>971</v>
      </c>
      <c r="D717" s="83">
        <f t="shared" ref="D717:E719" si="73">D718</f>
        <v>5431623.1899999995</v>
      </c>
      <c r="E717" s="83">
        <f t="shared" si="73"/>
        <v>5431623.1899999995</v>
      </c>
      <c r="F717" s="84">
        <f t="shared" si="71"/>
        <v>0</v>
      </c>
    </row>
    <row r="718" spans="1:6" ht="23" x14ac:dyDescent="0.3">
      <c r="A718" s="90" t="s">
        <v>492</v>
      </c>
      <c r="B718" s="94" t="s">
        <v>390</v>
      </c>
      <c r="C718" s="91" t="s">
        <v>972</v>
      </c>
      <c r="D718" s="92">
        <f t="shared" si="73"/>
        <v>5431623.1899999995</v>
      </c>
      <c r="E718" s="92">
        <f t="shared" si="73"/>
        <v>5431623.1899999995</v>
      </c>
      <c r="F718" s="84">
        <f t="shared" si="71"/>
        <v>0</v>
      </c>
    </row>
    <row r="719" spans="1:6" ht="34.5" x14ac:dyDescent="0.25">
      <c r="A719" s="90" t="s">
        <v>398</v>
      </c>
      <c r="B719" s="94" t="s">
        <v>390</v>
      </c>
      <c r="C719" s="91" t="s">
        <v>973</v>
      </c>
      <c r="D719" s="92">
        <f t="shared" si="73"/>
        <v>5431623.1899999995</v>
      </c>
      <c r="E719" s="92">
        <f t="shared" si="73"/>
        <v>5431623.1899999995</v>
      </c>
      <c r="F719" s="93">
        <f t="shared" si="71"/>
        <v>0</v>
      </c>
    </row>
    <row r="720" spans="1:6" x14ac:dyDescent="0.25">
      <c r="A720" s="90" t="s">
        <v>400</v>
      </c>
      <c r="B720" s="94" t="s">
        <v>390</v>
      </c>
      <c r="C720" s="91" t="s">
        <v>974</v>
      </c>
      <c r="D720" s="92">
        <f>D725+D729</f>
        <v>5431623.1899999995</v>
      </c>
      <c r="E720" s="92">
        <f>E725+E729</f>
        <v>5431623.1899999995</v>
      </c>
      <c r="F720" s="93">
        <f t="shared" si="71"/>
        <v>0</v>
      </c>
    </row>
    <row r="721" spans="1:6" ht="13" x14ac:dyDescent="0.25">
      <c r="A721" s="87" t="s">
        <v>121</v>
      </c>
      <c r="B721" s="94"/>
      <c r="C721" s="91"/>
      <c r="D721" s="92"/>
      <c r="E721" s="92"/>
      <c r="F721" s="93"/>
    </row>
    <row r="722" spans="1:6" ht="13.5" x14ac:dyDescent="0.3">
      <c r="A722" s="97" t="s">
        <v>414</v>
      </c>
      <c r="B722" s="81" t="s">
        <v>390</v>
      </c>
      <c r="C722" s="88" t="s">
        <v>971</v>
      </c>
      <c r="D722" s="83">
        <f t="shared" ref="D722:E724" si="74">D723</f>
        <v>1683803.19</v>
      </c>
      <c r="E722" s="83">
        <f t="shared" si="74"/>
        <v>1683803.1899999997</v>
      </c>
      <c r="F722" s="84">
        <f t="shared" ref="F722:F729" si="75">D722-E722</f>
        <v>0</v>
      </c>
    </row>
    <row r="723" spans="1:6" ht="23" x14ac:dyDescent="0.3">
      <c r="A723" s="90" t="s">
        <v>492</v>
      </c>
      <c r="B723" s="94" t="s">
        <v>390</v>
      </c>
      <c r="C723" s="91" t="s">
        <v>972</v>
      </c>
      <c r="D723" s="92">
        <f t="shared" si="74"/>
        <v>1683803.19</v>
      </c>
      <c r="E723" s="92">
        <f t="shared" si="74"/>
        <v>1683803.1899999997</v>
      </c>
      <c r="F723" s="84">
        <f t="shared" si="75"/>
        <v>0</v>
      </c>
    </row>
    <row r="724" spans="1:6" ht="34.5" x14ac:dyDescent="0.25">
      <c r="A724" s="90" t="s">
        <v>398</v>
      </c>
      <c r="B724" s="94" t="s">
        <v>390</v>
      </c>
      <c r="C724" s="91" t="s">
        <v>973</v>
      </c>
      <c r="D724" s="92">
        <f t="shared" si="74"/>
        <v>1683803.19</v>
      </c>
      <c r="E724" s="92">
        <f t="shared" si="74"/>
        <v>1683803.1899999997</v>
      </c>
      <c r="F724" s="93">
        <f t="shared" si="75"/>
        <v>0</v>
      </c>
    </row>
    <row r="725" spans="1:6" x14ac:dyDescent="0.25">
      <c r="A725" s="90" t="s">
        <v>400</v>
      </c>
      <c r="B725" s="94" t="s">
        <v>390</v>
      </c>
      <c r="C725" s="91" t="s">
        <v>974</v>
      </c>
      <c r="D725" s="92">
        <v>1683803.19</v>
      </c>
      <c r="E725" s="92">
        <f>1071904.13+429369.88+182529.18</f>
        <v>1683803.1899999997</v>
      </c>
      <c r="F725" s="93">
        <f t="shared" si="75"/>
        <v>0</v>
      </c>
    </row>
    <row r="726" spans="1:6" ht="13.5" x14ac:dyDescent="0.3">
      <c r="A726" s="97" t="s">
        <v>415</v>
      </c>
      <c r="B726" s="81" t="s">
        <v>390</v>
      </c>
      <c r="C726" s="88" t="s">
        <v>971</v>
      </c>
      <c r="D726" s="83">
        <f t="shared" ref="D726:E728" si="76">D727</f>
        <v>3747820</v>
      </c>
      <c r="E726" s="83">
        <f t="shared" si="76"/>
        <v>3747820</v>
      </c>
      <c r="F726" s="84">
        <f t="shared" si="75"/>
        <v>0</v>
      </c>
    </row>
    <row r="727" spans="1:6" ht="23" x14ac:dyDescent="0.3">
      <c r="A727" s="90" t="s">
        <v>492</v>
      </c>
      <c r="B727" s="94" t="s">
        <v>390</v>
      </c>
      <c r="C727" s="91" t="s">
        <v>972</v>
      </c>
      <c r="D727" s="92">
        <f t="shared" si="76"/>
        <v>3747820</v>
      </c>
      <c r="E727" s="92">
        <f t="shared" si="76"/>
        <v>3747820</v>
      </c>
      <c r="F727" s="84">
        <f t="shared" si="75"/>
        <v>0</v>
      </c>
    </row>
    <row r="728" spans="1:6" ht="34.5" x14ac:dyDescent="0.25">
      <c r="A728" s="90" t="s">
        <v>398</v>
      </c>
      <c r="B728" s="94" t="s">
        <v>390</v>
      </c>
      <c r="C728" s="91" t="s">
        <v>973</v>
      </c>
      <c r="D728" s="92">
        <f t="shared" si="76"/>
        <v>3747820</v>
      </c>
      <c r="E728" s="92">
        <f t="shared" si="76"/>
        <v>3747820</v>
      </c>
      <c r="F728" s="93">
        <f t="shared" si="75"/>
        <v>0</v>
      </c>
    </row>
    <row r="729" spans="1:6" x14ac:dyDescent="0.25">
      <c r="A729" s="90" t="s">
        <v>400</v>
      </c>
      <c r="B729" s="94" t="s">
        <v>390</v>
      </c>
      <c r="C729" s="91" t="s">
        <v>974</v>
      </c>
      <c r="D729" s="92">
        <v>3747820</v>
      </c>
      <c r="E729" s="92">
        <f>3341545.35+406274.65</f>
        <v>3747820</v>
      </c>
      <c r="F729" s="93">
        <f t="shared" si="75"/>
        <v>0</v>
      </c>
    </row>
    <row r="730" spans="1:6" ht="26" x14ac:dyDescent="0.3">
      <c r="A730" s="87" t="s">
        <v>975</v>
      </c>
      <c r="B730" s="81" t="s">
        <v>390</v>
      </c>
      <c r="C730" s="88" t="s">
        <v>976</v>
      </c>
      <c r="D730" s="83">
        <f>D731+D759</f>
        <v>1456999</v>
      </c>
      <c r="E730" s="83">
        <f>E731+E759</f>
        <v>1456817.6</v>
      </c>
      <c r="F730" s="84">
        <f t="shared" si="71"/>
        <v>181.39999999990687</v>
      </c>
    </row>
    <row r="731" spans="1:6" ht="39" x14ac:dyDescent="0.3">
      <c r="A731" s="87" t="s">
        <v>977</v>
      </c>
      <c r="B731" s="81" t="s">
        <v>390</v>
      </c>
      <c r="C731" s="88" t="s">
        <v>978</v>
      </c>
      <c r="D731" s="83">
        <f>D732+D738+D746+D742</f>
        <v>735000</v>
      </c>
      <c r="E731" s="83">
        <f>E732+E738+E746+E742</f>
        <v>734836.6</v>
      </c>
      <c r="F731" s="84">
        <f t="shared" si="71"/>
        <v>163.40000000002328</v>
      </c>
    </row>
    <row r="732" spans="1:6" ht="72" customHeight="1" x14ac:dyDescent="0.3">
      <c r="A732" s="89" t="s">
        <v>979</v>
      </c>
      <c r="B732" s="81" t="s">
        <v>390</v>
      </c>
      <c r="C732" s="88" t="s">
        <v>980</v>
      </c>
      <c r="D732" s="83">
        <f>D733+D736</f>
        <v>50000</v>
      </c>
      <c r="E732" s="83">
        <f>E733+E736</f>
        <v>49906.6</v>
      </c>
      <c r="F732" s="84">
        <f t="shared" si="71"/>
        <v>93.400000000001455</v>
      </c>
    </row>
    <row r="733" spans="1:6" ht="23" x14ac:dyDescent="0.25">
      <c r="A733" s="90" t="s">
        <v>492</v>
      </c>
      <c r="B733" s="94" t="s">
        <v>390</v>
      </c>
      <c r="C733" s="91" t="s">
        <v>981</v>
      </c>
      <c r="D733" s="92">
        <f t="shared" ref="D733:E736" si="77">D734</f>
        <v>50000</v>
      </c>
      <c r="E733" s="92">
        <f t="shared" si="77"/>
        <v>49906.6</v>
      </c>
      <c r="F733" s="93">
        <f t="shared" si="71"/>
        <v>93.400000000001455</v>
      </c>
    </row>
    <row r="734" spans="1:6" ht="34.5" x14ac:dyDescent="0.25">
      <c r="A734" s="90" t="s">
        <v>398</v>
      </c>
      <c r="B734" s="94" t="s">
        <v>390</v>
      </c>
      <c r="C734" s="91" t="s">
        <v>982</v>
      </c>
      <c r="D734" s="92">
        <f t="shared" si="77"/>
        <v>50000</v>
      </c>
      <c r="E734" s="92">
        <f t="shared" si="77"/>
        <v>49906.6</v>
      </c>
      <c r="F734" s="93">
        <f t="shared" si="71"/>
        <v>93.400000000001455</v>
      </c>
    </row>
    <row r="735" spans="1:6" x14ac:dyDescent="0.25">
      <c r="A735" s="90" t="s">
        <v>400</v>
      </c>
      <c r="B735" s="94" t="s">
        <v>390</v>
      </c>
      <c r="C735" s="91" t="s">
        <v>983</v>
      </c>
      <c r="D735" s="92">
        <v>50000</v>
      </c>
      <c r="E735" s="92">
        <v>49906.6</v>
      </c>
      <c r="F735" s="93">
        <f t="shared" si="71"/>
        <v>93.400000000001455</v>
      </c>
    </row>
    <row r="736" spans="1:6" ht="23.5" hidden="1" customHeight="1" x14ac:dyDescent="0.25">
      <c r="A736" s="90" t="s">
        <v>984</v>
      </c>
      <c r="B736" s="94" t="s">
        <v>390</v>
      </c>
      <c r="C736" s="91" t="s">
        <v>985</v>
      </c>
      <c r="D736" s="92">
        <f t="shared" si="77"/>
        <v>0</v>
      </c>
      <c r="E736" s="92">
        <f t="shared" si="77"/>
        <v>0</v>
      </c>
      <c r="F736" s="93">
        <f t="shared" si="71"/>
        <v>0</v>
      </c>
    </row>
    <row r="737" spans="1:6" ht="16" hidden="1" customHeight="1" x14ac:dyDescent="0.25">
      <c r="A737" s="90" t="s">
        <v>719</v>
      </c>
      <c r="B737" s="94" t="s">
        <v>390</v>
      </c>
      <c r="C737" s="91" t="s">
        <v>986</v>
      </c>
      <c r="D737" s="92"/>
      <c r="E737" s="92"/>
      <c r="F737" s="93">
        <f t="shared" si="71"/>
        <v>0</v>
      </c>
    </row>
    <row r="738" spans="1:6" ht="85.5" customHeight="1" x14ac:dyDescent="0.3">
      <c r="A738" s="89" t="s">
        <v>987</v>
      </c>
      <c r="B738" s="81" t="s">
        <v>390</v>
      </c>
      <c r="C738" s="88" t="s">
        <v>988</v>
      </c>
      <c r="D738" s="83">
        <f t="shared" ref="D738:E740" si="78">D739</f>
        <v>40000</v>
      </c>
      <c r="E738" s="83">
        <f t="shared" si="78"/>
        <v>40000</v>
      </c>
      <c r="F738" s="84">
        <f t="shared" si="71"/>
        <v>0</v>
      </c>
    </row>
    <row r="739" spans="1:6" ht="23" x14ac:dyDescent="0.25">
      <c r="A739" s="90" t="s">
        <v>492</v>
      </c>
      <c r="B739" s="94" t="s">
        <v>390</v>
      </c>
      <c r="C739" s="91" t="s">
        <v>989</v>
      </c>
      <c r="D739" s="92">
        <f t="shared" si="78"/>
        <v>40000</v>
      </c>
      <c r="E739" s="92">
        <f t="shared" si="78"/>
        <v>40000</v>
      </c>
      <c r="F739" s="93">
        <f t="shared" si="71"/>
        <v>0</v>
      </c>
    </row>
    <row r="740" spans="1:6" ht="34.5" x14ac:dyDescent="0.3">
      <c r="A740" s="90" t="s">
        <v>398</v>
      </c>
      <c r="B740" s="94" t="s">
        <v>390</v>
      </c>
      <c r="C740" s="91" t="s">
        <v>990</v>
      </c>
      <c r="D740" s="92">
        <f t="shared" si="78"/>
        <v>40000</v>
      </c>
      <c r="E740" s="92">
        <f t="shared" si="78"/>
        <v>40000</v>
      </c>
      <c r="F740" s="84">
        <f t="shared" si="71"/>
        <v>0</v>
      </c>
    </row>
    <row r="741" spans="1:6" x14ac:dyDescent="0.25">
      <c r="A741" s="90" t="s">
        <v>400</v>
      </c>
      <c r="B741" s="94" t="s">
        <v>390</v>
      </c>
      <c r="C741" s="91" t="s">
        <v>991</v>
      </c>
      <c r="D741" s="92">
        <v>40000</v>
      </c>
      <c r="E741" s="92">
        <v>40000</v>
      </c>
      <c r="F741" s="93">
        <f t="shared" si="71"/>
        <v>0</v>
      </c>
    </row>
    <row r="742" spans="1:6" ht="126.5" x14ac:dyDescent="0.3">
      <c r="A742" s="89" t="s">
        <v>992</v>
      </c>
      <c r="B742" s="81" t="s">
        <v>390</v>
      </c>
      <c r="C742" s="88" t="s">
        <v>993</v>
      </c>
      <c r="D742" s="83">
        <f t="shared" ref="D742:E744" si="79">D743</f>
        <v>70</v>
      </c>
      <c r="E742" s="83">
        <f t="shared" si="79"/>
        <v>0</v>
      </c>
      <c r="F742" s="84">
        <f t="shared" si="71"/>
        <v>70</v>
      </c>
    </row>
    <row r="743" spans="1:6" x14ac:dyDescent="0.25">
      <c r="A743" s="90" t="s">
        <v>500</v>
      </c>
      <c r="B743" s="94" t="s">
        <v>390</v>
      </c>
      <c r="C743" s="91" t="s">
        <v>994</v>
      </c>
      <c r="D743" s="92">
        <f t="shared" si="79"/>
        <v>70</v>
      </c>
      <c r="E743" s="92">
        <f t="shared" si="79"/>
        <v>0</v>
      </c>
      <c r="F743" s="93">
        <f t="shared" si="71"/>
        <v>70</v>
      </c>
    </row>
    <row r="744" spans="1:6" ht="46" x14ac:dyDescent="0.25">
      <c r="A744" s="90" t="s">
        <v>995</v>
      </c>
      <c r="B744" s="94" t="s">
        <v>390</v>
      </c>
      <c r="C744" s="91" t="s">
        <v>996</v>
      </c>
      <c r="D744" s="92">
        <f t="shared" si="79"/>
        <v>70</v>
      </c>
      <c r="E744" s="92">
        <f t="shared" si="79"/>
        <v>0</v>
      </c>
      <c r="F744" s="93">
        <f t="shared" si="71"/>
        <v>70</v>
      </c>
    </row>
    <row r="745" spans="1:6" ht="50.5" customHeight="1" x14ac:dyDescent="0.25">
      <c r="A745" s="90" t="s">
        <v>997</v>
      </c>
      <c r="B745" s="94" t="s">
        <v>390</v>
      </c>
      <c r="C745" s="91" t="s">
        <v>998</v>
      </c>
      <c r="D745" s="92">
        <v>70</v>
      </c>
      <c r="E745" s="92"/>
      <c r="F745" s="93">
        <f t="shared" si="71"/>
        <v>70</v>
      </c>
    </row>
    <row r="746" spans="1:6" s="44" customFormat="1" ht="92" x14ac:dyDescent="0.3">
      <c r="A746" s="89" t="s">
        <v>999</v>
      </c>
      <c r="B746" s="81" t="s">
        <v>390</v>
      </c>
      <c r="C746" s="88" t="s">
        <v>1000</v>
      </c>
      <c r="D746" s="83">
        <f t="shared" ref="D746:E748" si="80">D747</f>
        <v>644930</v>
      </c>
      <c r="E746" s="83">
        <f t="shared" si="80"/>
        <v>644930</v>
      </c>
      <c r="F746" s="84">
        <f t="shared" si="71"/>
        <v>0</v>
      </c>
    </row>
    <row r="747" spans="1:6" s="44" customFormat="1" ht="13" x14ac:dyDescent="0.3">
      <c r="A747" s="90" t="s">
        <v>500</v>
      </c>
      <c r="B747" s="94" t="s">
        <v>390</v>
      </c>
      <c r="C747" s="91" t="s">
        <v>1001</v>
      </c>
      <c r="D747" s="92">
        <f t="shared" si="80"/>
        <v>644930</v>
      </c>
      <c r="E747" s="92">
        <f t="shared" si="80"/>
        <v>644930</v>
      </c>
      <c r="F747" s="93">
        <f t="shared" si="71"/>
        <v>0</v>
      </c>
    </row>
    <row r="748" spans="1:6" s="44" customFormat="1" ht="46" x14ac:dyDescent="0.3">
      <c r="A748" s="90" t="s">
        <v>995</v>
      </c>
      <c r="B748" s="94" t="s">
        <v>390</v>
      </c>
      <c r="C748" s="91" t="s">
        <v>1002</v>
      </c>
      <c r="D748" s="92">
        <f t="shared" si="80"/>
        <v>644930</v>
      </c>
      <c r="E748" s="92">
        <f t="shared" si="80"/>
        <v>644930</v>
      </c>
      <c r="F748" s="93">
        <f t="shared" si="71"/>
        <v>0</v>
      </c>
    </row>
    <row r="749" spans="1:6" s="44" customFormat="1" ht="50.5" customHeight="1" x14ac:dyDescent="0.3">
      <c r="A749" s="90" t="s">
        <v>997</v>
      </c>
      <c r="B749" s="94" t="s">
        <v>390</v>
      </c>
      <c r="C749" s="91" t="s">
        <v>1003</v>
      </c>
      <c r="D749" s="92">
        <f>D754+D758</f>
        <v>644930</v>
      </c>
      <c r="E749" s="92">
        <f>E754+E758</f>
        <v>644930</v>
      </c>
      <c r="F749" s="93">
        <f t="shared" si="71"/>
        <v>0</v>
      </c>
    </row>
    <row r="750" spans="1:6" s="44" customFormat="1" ht="13" x14ac:dyDescent="0.3">
      <c r="A750" s="87" t="s">
        <v>121</v>
      </c>
      <c r="B750" s="94"/>
      <c r="C750" s="91"/>
      <c r="D750" s="92"/>
      <c r="E750" s="92"/>
      <c r="F750" s="93"/>
    </row>
    <row r="751" spans="1:6" s="44" customFormat="1" ht="13.5" x14ac:dyDescent="0.3">
      <c r="A751" s="97" t="s">
        <v>414</v>
      </c>
      <c r="B751" s="81" t="s">
        <v>390</v>
      </c>
      <c r="C751" s="88" t="s">
        <v>1000</v>
      </c>
      <c r="D751" s="83">
        <f t="shared" ref="D751:E757" si="81">D752</f>
        <v>199930</v>
      </c>
      <c r="E751" s="83">
        <f t="shared" si="81"/>
        <v>199930</v>
      </c>
      <c r="F751" s="84">
        <f t="shared" ref="F751:F854" si="82">D751-E751</f>
        <v>0</v>
      </c>
    </row>
    <row r="752" spans="1:6" s="44" customFormat="1" ht="13" x14ac:dyDescent="0.3">
      <c r="A752" s="90" t="s">
        <v>500</v>
      </c>
      <c r="B752" s="94" t="s">
        <v>390</v>
      </c>
      <c r="C752" s="91" t="s">
        <v>1001</v>
      </c>
      <c r="D752" s="92">
        <f t="shared" si="81"/>
        <v>199930</v>
      </c>
      <c r="E752" s="92">
        <f t="shared" si="81"/>
        <v>199930</v>
      </c>
      <c r="F752" s="93">
        <f t="shared" si="82"/>
        <v>0</v>
      </c>
    </row>
    <row r="753" spans="1:6" s="44" customFormat="1" ht="46" x14ac:dyDescent="0.3">
      <c r="A753" s="90" t="s">
        <v>995</v>
      </c>
      <c r="B753" s="94" t="s">
        <v>390</v>
      </c>
      <c r="C753" s="91" t="s">
        <v>1002</v>
      </c>
      <c r="D753" s="92">
        <f t="shared" si="81"/>
        <v>199930</v>
      </c>
      <c r="E753" s="92">
        <f t="shared" si="81"/>
        <v>199930</v>
      </c>
      <c r="F753" s="93">
        <f t="shared" si="82"/>
        <v>0</v>
      </c>
    </row>
    <row r="754" spans="1:6" s="44" customFormat="1" ht="49" customHeight="1" x14ac:dyDescent="0.3">
      <c r="A754" s="90" t="s">
        <v>997</v>
      </c>
      <c r="B754" s="94" t="s">
        <v>390</v>
      </c>
      <c r="C754" s="91" t="s">
        <v>1003</v>
      </c>
      <c r="D754" s="92">
        <f>200000-70</f>
        <v>199930</v>
      </c>
      <c r="E754" s="92">
        <f>109569.5+90360.5</f>
        <v>199930</v>
      </c>
      <c r="F754" s="93">
        <f t="shared" si="82"/>
        <v>0</v>
      </c>
    </row>
    <row r="755" spans="1:6" s="44" customFormat="1" ht="13.5" x14ac:dyDescent="0.3">
      <c r="A755" s="97" t="s">
        <v>415</v>
      </c>
      <c r="B755" s="81" t="s">
        <v>390</v>
      </c>
      <c r="C755" s="88" t="s">
        <v>1000</v>
      </c>
      <c r="D755" s="83">
        <f t="shared" si="81"/>
        <v>445000</v>
      </c>
      <c r="E755" s="83">
        <f t="shared" si="81"/>
        <v>445000</v>
      </c>
      <c r="F755" s="84">
        <f t="shared" si="82"/>
        <v>0</v>
      </c>
    </row>
    <row r="756" spans="1:6" s="44" customFormat="1" ht="13" x14ac:dyDescent="0.3">
      <c r="A756" s="90" t="s">
        <v>500</v>
      </c>
      <c r="B756" s="94" t="s">
        <v>390</v>
      </c>
      <c r="C756" s="91" t="s">
        <v>1001</v>
      </c>
      <c r="D756" s="92">
        <f t="shared" si="81"/>
        <v>445000</v>
      </c>
      <c r="E756" s="92">
        <f t="shared" si="81"/>
        <v>445000</v>
      </c>
      <c r="F756" s="93">
        <f t="shared" si="82"/>
        <v>0</v>
      </c>
    </row>
    <row r="757" spans="1:6" s="44" customFormat="1" ht="46" x14ac:dyDescent="0.3">
      <c r="A757" s="90" t="s">
        <v>995</v>
      </c>
      <c r="B757" s="94" t="s">
        <v>390</v>
      </c>
      <c r="C757" s="91" t="s">
        <v>1002</v>
      </c>
      <c r="D757" s="92">
        <f t="shared" si="81"/>
        <v>445000</v>
      </c>
      <c r="E757" s="92">
        <f t="shared" si="81"/>
        <v>445000</v>
      </c>
      <c r="F757" s="93">
        <f t="shared" si="82"/>
        <v>0</v>
      </c>
    </row>
    <row r="758" spans="1:6" s="44" customFormat="1" ht="48" customHeight="1" x14ac:dyDescent="0.3">
      <c r="A758" s="90" t="s">
        <v>997</v>
      </c>
      <c r="B758" s="94" t="s">
        <v>390</v>
      </c>
      <c r="C758" s="91" t="s">
        <v>1003</v>
      </c>
      <c r="D758" s="92">
        <v>445000</v>
      </c>
      <c r="E758" s="92">
        <f>243880.5+201119.5</f>
        <v>445000</v>
      </c>
      <c r="F758" s="93">
        <f t="shared" si="82"/>
        <v>0</v>
      </c>
    </row>
    <row r="759" spans="1:6" s="44" customFormat="1" ht="52" x14ac:dyDescent="0.3">
      <c r="A759" s="87" t="s">
        <v>1004</v>
      </c>
      <c r="B759" s="81" t="s">
        <v>390</v>
      </c>
      <c r="C759" s="88" t="s">
        <v>1005</v>
      </c>
      <c r="D759" s="83">
        <f>D760+D764</f>
        <v>721999</v>
      </c>
      <c r="E759" s="83">
        <f>E760+E764</f>
        <v>721981</v>
      </c>
      <c r="F759" s="84">
        <f t="shared" si="82"/>
        <v>18</v>
      </c>
    </row>
    <row r="760" spans="1:6" s="44" customFormat="1" ht="95.15" customHeight="1" x14ac:dyDescent="0.3">
      <c r="A760" s="89" t="s">
        <v>1006</v>
      </c>
      <c r="B760" s="81" t="s">
        <v>390</v>
      </c>
      <c r="C760" s="88" t="s">
        <v>1007</v>
      </c>
      <c r="D760" s="83">
        <f t="shared" ref="D760:E762" si="83">D761</f>
        <v>315650</v>
      </c>
      <c r="E760" s="83">
        <f t="shared" si="83"/>
        <v>315650</v>
      </c>
      <c r="F760" s="84">
        <f t="shared" si="82"/>
        <v>0</v>
      </c>
    </row>
    <row r="761" spans="1:6" s="44" customFormat="1" ht="34.5" x14ac:dyDescent="0.3">
      <c r="A761" s="90" t="s">
        <v>926</v>
      </c>
      <c r="B761" s="94" t="s">
        <v>390</v>
      </c>
      <c r="C761" s="91" t="s">
        <v>1008</v>
      </c>
      <c r="D761" s="92">
        <f t="shared" si="83"/>
        <v>315650</v>
      </c>
      <c r="E761" s="92">
        <f t="shared" si="83"/>
        <v>315650</v>
      </c>
      <c r="F761" s="93">
        <f t="shared" si="82"/>
        <v>0</v>
      </c>
    </row>
    <row r="762" spans="1:6" s="44" customFormat="1" ht="34.5" x14ac:dyDescent="0.3">
      <c r="A762" s="121" t="s">
        <v>398</v>
      </c>
      <c r="B762" s="94" t="s">
        <v>390</v>
      </c>
      <c r="C762" s="91" t="s">
        <v>1009</v>
      </c>
      <c r="D762" s="92">
        <f t="shared" si="83"/>
        <v>315650</v>
      </c>
      <c r="E762" s="92">
        <f t="shared" si="83"/>
        <v>315650</v>
      </c>
      <c r="F762" s="93">
        <f t="shared" si="82"/>
        <v>0</v>
      </c>
    </row>
    <row r="763" spans="1:6" s="44" customFormat="1" ht="13" x14ac:dyDescent="0.3">
      <c r="A763" s="90" t="s">
        <v>400</v>
      </c>
      <c r="B763" s="94" t="s">
        <v>390</v>
      </c>
      <c r="C763" s="91" t="s">
        <v>1010</v>
      </c>
      <c r="D763" s="92">
        <v>315650</v>
      </c>
      <c r="E763" s="92">
        <v>315650</v>
      </c>
      <c r="F763" s="93">
        <f t="shared" si="82"/>
        <v>0</v>
      </c>
    </row>
    <row r="764" spans="1:6" s="44" customFormat="1" ht="69" x14ac:dyDescent="0.3">
      <c r="A764" s="89" t="s">
        <v>1011</v>
      </c>
      <c r="B764" s="81" t="s">
        <v>390</v>
      </c>
      <c r="C764" s="88" t="s">
        <v>1012</v>
      </c>
      <c r="D764" s="83">
        <f t="shared" ref="D764:E766" si="84">D765</f>
        <v>406349</v>
      </c>
      <c r="E764" s="83">
        <f t="shared" si="84"/>
        <v>406331</v>
      </c>
      <c r="F764" s="84">
        <f>D764-E764</f>
        <v>18</v>
      </c>
    </row>
    <row r="765" spans="1:6" s="44" customFormat="1" ht="34.5" x14ac:dyDescent="0.3">
      <c r="A765" s="90" t="s">
        <v>926</v>
      </c>
      <c r="B765" s="94" t="s">
        <v>390</v>
      </c>
      <c r="C765" s="91" t="s">
        <v>1013</v>
      </c>
      <c r="D765" s="92">
        <f t="shared" si="84"/>
        <v>406349</v>
      </c>
      <c r="E765" s="92">
        <f t="shared" si="84"/>
        <v>406331</v>
      </c>
      <c r="F765" s="93">
        <f>D765-E765</f>
        <v>18</v>
      </c>
    </row>
    <row r="766" spans="1:6" s="44" customFormat="1" ht="34.5" x14ac:dyDescent="0.3">
      <c r="A766" s="121" t="s">
        <v>398</v>
      </c>
      <c r="B766" s="94" t="s">
        <v>390</v>
      </c>
      <c r="C766" s="91" t="s">
        <v>1014</v>
      </c>
      <c r="D766" s="92">
        <f t="shared" si="84"/>
        <v>406349</v>
      </c>
      <c r="E766" s="92">
        <f t="shared" si="84"/>
        <v>406331</v>
      </c>
      <c r="F766" s="93">
        <f>D766-E766</f>
        <v>18</v>
      </c>
    </row>
    <row r="767" spans="1:6" s="44" customFormat="1" ht="13" x14ac:dyDescent="0.3">
      <c r="A767" s="90" t="s">
        <v>400</v>
      </c>
      <c r="B767" s="94" t="s">
        <v>390</v>
      </c>
      <c r="C767" s="91" t="s">
        <v>1015</v>
      </c>
      <c r="D767" s="92">
        <f>D772+D776</f>
        <v>406349</v>
      </c>
      <c r="E767" s="92">
        <f>E772+E776</f>
        <v>406331</v>
      </c>
      <c r="F767" s="93">
        <f>D767-E767</f>
        <v>18</v>
      </c>
    </row>
    <row r="768" spans="1:6" s="44" customFormat="1" ht="13" x14ac:dyDescent="0.3">
      <c r="A768" s="89" t="s">
        <v>121</v>
      </c>
      <c r="B768" s="94"/>
      <c r="C768" s="120"/>
      <c r="D768" s="92"/>
      <c r="E768" s="92"/>
      <c r="F768" s="93"/>
    </row>
    <row r="769" spans="1:6" s="44" customFormat="1" ht="13" x14ac:dyDescent="0.3">
      <c r="A769" s="115" t="s">
        <v>414</v>
      </c>
      <c r="B769" s="81" t="s">
        <v>390</v>
      </c>
      <c r="C769" s="88" t="s">
        <v>1012</v>
      </c>
      <c r="D769" s="83">
        <f t="shared" ref="D769:E771" si="85">D770</f>
        <v>153529</v>
      </c>
      <c r="E769" s="83">
        <f t="shared" si="85"/>
        <v>153511.85</v>
      </c>
      <c r="F769" s="84">
        <f t="shared" ref="F769:F776" si="86">D769-E769</f>
        <v>17.149999999994179</v>
      </c>
    </row>
    <row r="770" spans="1:6" s="44" customFormat="1" ht="34.5" x14ac:dyDescent="0.3">
      <c r="A770" s="90" t="s">
        <v>926</v>
      </c>
      <c r="B770" s="94" t="s">
        <v>390</v>
      </c>
      <c r="C770" s="91" t="s">
        <v>1013</v>
      </c>
      <c r="D770" s="92">
        <f t="shared" si="85"/>
        <v>153529</v>
      </c>
      <c r="E770" s="92">
        <f t="shared" si="85"/>
        <v>153511.85</v>
      </c>
      <c r="F770" s="93">
        <f t="shared" si="86"/>
        <v>17.149999999994179</v>
      </c>
    </row>
    <row r="771" spans="1:6" s="44" customFormat="1" ht="34.5" x14ac:dyDescent="0.3">
      <c r="A771" s="121" t="s">
        <v>398</v>
      </c>
      <c r="B771" s="94" t="s">
        <v>390</v>
      </c>
      <c r="C771" s="91" t="s">
        <v>1014</v>
      </c>
      <c r="D771" s="92">
        <f t="shared" si="85"/>
        <v>153529</v>
      </c>
      <c r="E771" s="92">
        <f t="shared" si="85"/>
        <v>153511.85</v>
      </c>
      <c r="F771" s="93">
        <f t="shared" si="86"/>
        <v>17.149999999994179</v>
      </c>
    </row>
    <row r="772" spans="1:6" s="44" customFormat="1" ht="13" x14ac:dyDescent="0.3">
      <c r="A772" s="90" t="s">
        <v>400</v>
      </c>
      <c r="B772" s="94" t="s">
        <v>390</v>
      </c>
      <c r="C772" s="91" t="s">
        <v>1015</v>
      </c>
      <c r="D772" s="92">
        <v>153529</v>
      </c>
      <c r="E772" s="92">
        <f>153511.85</f>
        <v>153511.85</v>
      </c>
      <c r="F772" s="93">
        <f t="shared" si="86"/>
        <v>17.149999999994179</v>
      </c>
    </row>
    <row r="773" spans="1:6" s="44" customFormat="1" ht="13" x14ac:dyDescent="0.3">
      <c r="A773" s="115" t="s">
        <v>415</v>
      </c>
      <c r="B773" s="81" t="s">
        <v>390</v>
      </c>
      <c r="C773" s="88" t="s">
        <v>1012</v>
      </c>
      <c r="D773" s="83">
        <f t="shared" ref="D773:E775" si="87">D774</f>
        <v>252820</v>
      </c>
      <c r="E773" s="83">
        <f t="shared" si="87"/>
        <v>252819.15</v>
      </c>
      <c r="F773" s="84">
        <f t="shared" si="86"/>
        <v>0.85000000000582077</v>
      </c>
    </row>
    <row r="774" spans="1:6" s="44" customFormat="1" ht="34.5" x14ac:dyDescent="0.3">
      <c r="A774" s="90" t="s">
        <v>926</v>
      </c>
      <c r="B774" s="94" t="s">
        <v>390</v>
      </c>
      <c r="C774" s="91" t="s">
        <v>1013</v>
      </c>
      <c r="D774" s="92">
        <f t="shared" si="87"/>
        <v>252820</v>
      </c>
      <c r="E774" s="92">
        <f t="shared" si="87"/>
        <v>252819.15</v>
      </c>
      <c r="F774" s="93">
        <f t="shared" si="86"/>
        <v>0.85000000000582077</v>
      </c>
    </row>
    <row r="775" spans="1:6" s="44" customFormat="1" ht="34.5" x14ac:dyDescent="0.3">
      <c r="A775" s="121" t="s">
        <v>398</v>
      </c>
      <c r="B775" s="94" t="s">
        <v>390</v>
      </c>
      <c r="C775" s="91" t="s">
        <v>1014</v>
      </c>
      <c r="D775" s="92">
        <f t="shared" si="87"/>
        <v>252820</v>
      </c>
      <c r="E775" s="92">
        <f t="shared" si="87"/>
        <v>252819.15</v>
      </c>
      <c r="F775" s="93">
        <f t="shared" si="86"/>
        <v>0.85000000000582077</v>
      </c>
    </row>
    <row r="776" spans="1:6" s="44" customFormat="1" ht="13" x14ac:dyDescent="0.3">
      <c r="A776" s="90" t="s">
        <v>400</v>
      </c>
      <c r="B776" s="94" t="s">
        <v>390</v>
      </c>
      <c r="C776" s="91" t="s">
        <v>1015</v>
      </c>
      <c r="D776" s="92">
        <f>1203880-951060</f>
        <v>252820</v>
      </c>
      <c r="E776" s="92">
        <f>252819.15</f>
        <v>252819.15</v>
      </c>
      <c r="F776" s="93">
        <f t="shared" si="86"/>
        <v>0.85000000000582077</v>
      </c>
    </row>
    <row r="777" spans="1:6" s="44" customFormat="1" ht="26" x14ac:dyDescent="0.3">
      <c r="A777" s="87" t="s">
        <v>1016</v>
      </c>
      <c r="B777" s="81" t="s">
        <v>390</v>
      </c>
      <c r="C777" s="107" t="s">
        <v>1017</v>
      </c>
      <c r="D777" s="83">
        <f>D778+D808+D863</f>
        <v>296963121.48000002</v>
      </c>
      <c r="E777" s="83">
        <f>E778+E808+E863</f>
        <v>288886064.62</v>
      </c>
      <c r="F777" s="84">
        <f t="shared" si="82"/>
        <v>8077056.8600000143</v>
      </c>
    </row>
    <row r="778" spans="1:6" s="44" customFormat="1" ht="13" x14ac:dyDescent="0.3">
      <c r="A778" s="87" t="s">
        <v>1018</v>
      </c>
      <c r="B778" s="81" t="s">
        <v>390</v>
      </c>
      <c r="C778" s="107" t="s">
        <v>1019</v>
      </c>
      <c r="D778" s="83">
        <f>D779+D796+D800+D804</f>
        <v>13246137</v>
      </c>
      <c r="E778" s="83">
        <f>E779+E796+E800+E804</f>
        <v>13094233.77</v>
      </c>
      <c r="F778" s="84">
        <f t="shared" si="82"/>
        <v>151903.23000000045</v>
      </c>
    </row>
    <row r="779" spans="1:6" ht="26" x14ac:dyDescent="0.3">
      <c r="A779" s="87" t="s">
        <v>1020</v>
      </c>
      <c r="B779" s="81" t="s">
        <v>390</v>
      </c>
      <c r="C779" s="88" t="s">
        <v>1021</v>
      </c>
      <c r="D779" s="83">
        <f>D780+D784+D788+D792</f>
        <v>7691517</v>
      </c>
      <c r="E779" s="83">
        <f>E780+E784+E788+E792</f>
        <v>7539613.7699999996</v>
      </c>
      <c r="F779" s="84">
        <f t="shared" si="82"/>
        <v>151903.23000000045</v>
      </c>
    </row>
    <row r="780" spans="1:6" ht="46" hidden="1" x14ac:dyDescent="0.3">
      <c r="A780" s="122" t="s">
        <v>1022</v>
      </c>
      <c r="B780" s="81" t="s">
        <v>390</v>
      </c>
      <c r="C780" s="88" t="s">
        <v>1023</v>
      </c>
      <c r="D780" s="83">
        <f t="shared" ref="D780:E782" si="88">D781</f>
        <v>0</v>
      </c>
      <c r="E780" s="83">
        <f t="shared" si="88"/>
        <v>0</v>
      </c>
      <c r="F780" s="84">
        <f t="shared" si="82"/>
        <v>0</v>
      </c>
    </row>
    <row r="781" spans="1:6" ht="23" hidden="1" x14ac:dyDescent="0.25">
      <c r="A781" s="119" t="s">
        <v>492</v>
      </c>
      <c r="B781" s="94" t="s">
        <v>390</v>
      </c>
      <c r="C781" s="91" t="s">
        <v>1024</v>
      </c>
      <c r="D781" s="92">
        <f t="shared" si="88"/>
        <v>0</v>
      </c>
      <c r="E781" s="92">
        <f t="shared" si="88"/>
        <v>0</v>
      </c>
      <c r="F781" s="93">
        <f t="shared" si="82"/>
        <v>0</v>
      </c>
    </row>
    <row r="782" spans="1:6" ht="34.5" hidden="1" x14ac:dyDescent="0.25">
      <c r="A782" s="90" t="s">
        <v>398</v>
      </c>
      <c r="B782" s="94" t="s">
        <v>390</v>
      </c>
      <c r="C782" s="91" t="s">
        <v>1025</v>
      </c>
      <c r="D782" s="92">
        <f t="shared" si="88"/>
        <v>0</v>
      </c>
      <c r="E782" s="92">
        <f t="shared" si="88"/>
        <v>0</v>
      </c>
      <c r="F782" s="93">
        <f t="shared" si="82"/>
        <v>0</v>
      </c>
    </row>
    <row r="783" spans="1:6" s="44" customFormat="1" ht="13" hidden="1" x14ac:dyDescent="0.3">
      <c r="A783" s="90" t="s">
        <v>400</v>
      </c>
      <c r="B783" s="94" t="s">
        <v>390</v>
      </c>
      <c r="C783" s="91" t="s">
        <v>1026</v>
      </c>
      <c r="D783" s="92"/>
      <c r="E783" s="92"/>
      <c r="F783" s="93">
        <f t="shared" si="82"/>
        <v>0</v>
      </c>
    </row>
    <row r="784" spans="1:6" ht="86.15" customHeight="1" x14ac:dyDescent="0.3">
      <c r="A784" s="89" t="s">
        <v>1027</v>
      </c>
      <c r="B784" s="81" t="s">
        <v>390</v>
      </c>
      <c r="C784" s="88" t="s">
        <v>1028</v>
      </c>
      <c r="D784" s="83">
        <f>D785</f>
        <v>3963094</v>
      </c>
      <c r="E784" s="83">
        <f>E785</f>
        <v>3963093.72</v>
      </c>
      <c r="F784" s="84">
        <f t="shared" si="82"/>
        <v>0.27999999979510903</v>
      </c>
    </row>
    <row r="785" spans="1:6" x14ac:dyDescent="0.25">
      <c r="A785" s="90" t="s">
        <v>500</v>
      </c>
      <c r="B785" s="94" t="s">
        <v>390</v>
      </c>
      <c r="C785" s="91" t="s">
        <v>1029</v>
      </c>
      <c r="D785" s="92">
        <f>D786</f>
        <v>3963094</v>
      </c>
      <c r="E785" s="92">
        <f>E786</f>
        <v>3963093.72</v>
      </c>
      <c r="F785" s="93">
        <f>D785-E785</f>
        <v>0.27999999979510903</v>
      </c>
    </row>
    <row r="786" spans="1:6" x14ac:dyDescent="0.25">
      <c r="A786" s="90" t="s">
        <v>502</v>
      </c>
      <c r="B786" s="94" t="s">
        <v>390</v>
      </c>
      <c r="C786" s="91" t="s">
        <v>1030</v>
      </c>
      <c r="D786" s="92">
        <f>SUM(D787:D787)</f>
        <v>3963094</v>
      </c>
      <c r="E786" s="92">
        <f>SUM(E787:E787)</f>
        <v>3963093.72</v>
      </c>
      <c r="F786" s="93">
        <f>D786-E786</f>
        <v>0.27999999979510903</v>
      </c>
    </row>
    <row r="787" spans="1:6" x14ac:dyDescent="0.25">
      <c r="A787" s="90" t="s">
        <v>508</v>
      </c>
      <c r="B787" s="94" t="s">
        <v>390</v>
      </c>
      <c r="C787" s="91" t="s">
        <v>1031</v>
      </c>
      <c r="D787" s="92">
        <v>3963094</v>
      </c>
      <c r="E787" s="92">
        <v>3963093.72</v>
      </c>
      <c r="F787" s="93">
        <f>D787-E787</f>
        <v>0.27999999979510903</v>
      </c>
    </row>
    <row r="788" spans="1:6" ht="73.5" customHeight="1" x14ac:dyDescent="0.3">
      <c r="A788" s="89" t="s">
        <v>1032</v>
      </c>
      <c r="B788" s="81" t="s">
        <v>390</v>
      </c>
      <c r="C788" s="88" t="s">
        <v>1033</v>
      </c>
      <c r="D788" s="83">
        <f>D789</f>
        <v>3728423</v>
      </c>
      <c r="E788" s="83">
        <f>E789</f>
        <v>3576520.05</v>
      </c>
      <c r="F788" s="84">
        <f t="shared" si="82"/>
        <v>151902.95000000019</v>
      </c>
    </row>
    <row r="789" spans="1:6" ht="23" x14ac:dyDescent="0.25">
      <c r="A789" s="90" t="s">
        <v>492</v>
      </c>
      <c r="B789" s="94" t="s">
        <v>390</v>
      </c>
      <c r="C789" s="91" t="s">
        <v>1034</v>
      </c>
      <c r="D789" s="92">
        <f>D790</f>
        <v>3728423</v>
      </c>
      <c r="E789" s="92">
        <f>E790</f>
        <v>3576520.05</v>
      </c>
      <c r="F789" s="93">
        <f t="shared" si="82"/>
        <v>151902.95000000019</v>
      </c>
    </row>
    <row r="790" spans="1:6" ht="34.5" x14ac:dyDescent="0.25">
      <c r="A790" s="90" t="s">
        <v>398</v>
      </c>
      <c r="B790" s="94" t="s">
        <v>390</v>
      </c>
      <c r="C790" s="91" t="s">
        <v>1035</v>
      </c>
      <c r="D790" s="92">
        <f>SUM(D791:D791)</f>
        <v>3728423</v>
      </c>
      <c r="E790" s="92">
        <f>SUM(E791:E791)</f>
        <v>3576520.05</v>
      </c>
      <c r="F790" s="93">
        <f t="shared" si="82"/>
        <v>151902.95000000019</v>
      </c>
    </row>
    <row r="791" spans="1:6" x14ac:dyDescent="0.25">
      <c r="A791" s="90" t="s">
        <v>400</v>
      </c>
      <c r="B791" s="94" t="s">
        <v>390</v>
      </c>
      <c r="C791" s="91" t="s">
        <v>1036</v>
      </c>
      <c r="D791" s="92">
        <v>3728423</v>
      </c>
      <c r="E791" s="92">
        <v>3576520.05</v>
      </c>
      <c r="F791" s="93">
        <f t="shared" si="82"/>
        <v>151902.95000000019</v>
      </c>
    </row>
    <row r="792" spans="1:6" ht="69" hidden="1" x14ac:dyDescent="0.3">
      <c r="A792" s="89" t="s">
        <v>1037</v>
      </c>
      <c r="B792" s="81" t="s">
        <v>390</v>
      </c>
      <c r="C792" s="88" t="s">
        <v>1038</v>
      </c>
      <c r="D792" s="83">
        <f>D793</f>
        <v>0</v>
      </c>
      <c r="E792" s="83">
        <f>E793</f>
        <v>0</v>
      </c>
      <c r="F792" s="84">
        <f t="shared" si="82"/>
        <v>0</v>
      </c>
    </row>
    <row r="793" spans="1:6" hidden="1" x14ac:dyDescent="0.25">
      <c r="A793" s="90" t="s">
        <v>500</v>
      </c>
      <c r="B793" s="94" t="s">
        <v>390</v>
      </c>
      <c r="C793" s="91" t="s">
        <v>1039</v>
      </c>
      <c r="D793" s="92">
        <f>D794</f>
        <v>0</v>
      </c>
      <c r="E793" s="92">
        <f>E794</f>
        <v>0</v>
      </c>
      <c r="F793" s="93">
        <f t="shared" si="82"/>
        <v>0</v>
      </c>
    </row>
    <row r="794" spans="1:6" hidden="1" x14ac:dyDescent="0.25">
      <c r="A794" s="90" t="s">
        <v>502</v>
      </c>
      <c r="B794" s="94" t="s">
        <v>390</v>
      </c>
      <c r="C794" s="91" t="s">
        <v>1040</v>
      </c>
      <c r="D794" s="92">
        <f>SUM(D795:D795)</f>
        <v>0</v>
      </c>
      <c r="E794" s="92">
        <f>SUM(E795:E795)</f>
        <v>0</v>
      </c>
      <c r="F794" s="93">
        <f t="shared" si="82"/>
        <v>0</v>
      </c>
    </row>
    <row r="795" spans="1:6" hidden="1" x14ac:dyDescent="0.25">
      <c r="A795" s="90" t="s">
        <v>508</v>
      </c>
      <c r="B795" s="94" t="s">
        <v>390</v>
      </c>
      <c r="C795" s="91" t="s">
        <v>1041</v>
      </c>
      <c r="D795" s="92"/>
      <c r="E795" s="92"/>
      <c r="F795" s="93">
        <f t="shared" si="82"/>
        <v>0</v>
      </c>
    </row>
    <row r="796" spans="1:6" ht="95.5" customHeight="1" x14ac:dyDescent="0.3">
      <c r="A796" s="89" t="s">
        <v>1042</v>
      </c>
      <c r="B796" s="81" t="s">
        <v>390</v>
      </c>
      <c r="C796" s="88" t="s">
        <v>1043</v>
      </c>
      <c r="D796" s="83">
        <f t="shared" ref="D796:E798" si="89">D797</f>
        <v>5554620</v>
      </c>
      <c r="E796" s="83">
        <f t="shared" si="89"/>
        <v>5554620</v>
      </c>
      <c r="F796" s="84">
        <f t="shared" si="82"/>
        <v>0</v>
      </c>
    </row>
    <row r="797" spans="1:6" x14ac:dyDescent="0.25">
      <c r="A797" s="90" t="s">
        <v>500</v>
      </c>
      <c r="B797" s="94" t="s">
        <v>390</v>
      </c>
      <c r="C797" s="91" t="s">
        <v>1044</v>
      </c>
      <c r="D797" s="92">
        <f t="shared" si="89"/>
        <v>5554620</v>
      </c>
      <c r="E797" s="92">
        <f t="shared" si="89"/>
        <v>5554620</v>
      </c>
      <c r="F797" s="93">
        <f t="shared" si="82"/>
        <v>0</v>
      </c>
    </row>
    <row r="798" spans="1:6" ht="46" x14ac:dyDescent="0.25">
      <c r="A798" s="90" t="s">
        <v>995</v>
      </c>
      <c r="B798" s="94" t="s">
        <v>390</v>
      </c>
      <c r="C798" s="91" t="s">
        <v>1045</v>
      </c>
      <c r="D798" s="92">
        <f t="shared" si="89"/>
        <v>5554620</v>
      </c>
      <c r="E798" s="92">
        <f t="shared" si="89"/>
        <v>5554620</v>
      </c>
      <c r="F798" s="93">
        <f t="shared" si="82"/>
        <v>0</v>
      </c>
    </row>
    <row r="799" spans="1:6" ht="51" customHeight="1" x14ac:dyDescent="0.25">
      <c r="A799" s="90" t="s">
        <v>997</v>
      </c>
      <c r="B799" s="94" t="s">
        <v>390</v>
      </c>
      <c r="C799" s="91" t="s">
        <v>1046</v>
      </c>
      <c r="D799" s="92">
        <v>5554620</v>
      </c>
      <c r="E799" s="92">
        <v>5554620</v>
      </c>
      <c r="F799" s="93">
        <f t="shared" si="82"/>
        <v>0</v>
      </c>
    </row>
    <row r="800" spans="1:6" ht="26" hidden="1" x14ac:dyDescent="0.3">
      <c r="A800" s="87" t="s">
        <v>691</v>
      </c>
      <c r="B800" s="81" t="s">
        <v>390</v>
      </c>
      <c r="C800" s="88" t="s">
        <v>1047</v>
      </c>
      <c r="D800" s="83">
        <f t="shared" ref="D800:E806" si="90">D801</f>
        <v>0</v>
      </c>
      <c r="E800" s="83">
        <f t="shared" si="90"/>
        <v>0</v>
      </c>
      <c r="F800" s="84">
        <f t="shared" si="82"/>
        <v>0</v>
      </c>
    </row>
    <row r="801" spans="1:6" ht="23" hidden="1" x14ac:dyDescent="0.25">
      <c r="A801" s="90" t="s">
        <v>492</v>
      </c>
      <c r="B801" s="94" t="s">
        <v>390</v>
      </c>
      <c r="C801" s="91" t="s">
        <v>1048</v>
      </c>
      <c r="D801" s="92">
        <f t="shared" si="90"/>
        <v>0</v>
      </c>
      <c r="E801" s="92">
        <f t="shared" si="90"/>
        <v>0</v>
      </c>
      <c r="F801" s="93">
        <f t="shared" si="82"/>
        <v>0</v>
      </c>
    </row>
    <row r="802" spans="1:6" ht="34.5" hidden="1" x14ac:dyDescent="0.25">
      <c r="A802" s="90" t="s">
        <v>398</v>
      </c>
      <c r="B802" s="94" t="s">
        <v>390</v>
      </c>
      <c r="C802" s="91" t="s">
        <v>1049</v>
      </c>
      <c r="D802" s="92">
        <f t="shared" si="90"/>
        <v>0</v>
      </c>
      <c r="E802" s="92">
        <f t="shared" si="90"/>
        <v>0</v>
      </c>
      <c r="F802" s="93">
        <f t="shared" si="82"/>
        <v>0</v>
      </c>
    </row>
    <row r="803" spans="1:6" hidden="1" x14ac:dyDescent="0.25">
      <c r="A803" s="90" t="s">
        <v>400</v>
      </c>
      <c r="B803" s="94" t="s">
        <v>390</v>
      </c>
      <c r="C803" s="91" t="s">
        <v>1050</v>
      </c>
      <c r="D803" s="92"/>
      <c r="E803" s="92"/>
      <c r="F803" s="93">
        <f t="shared" si="82"/>
        <v>0</v>
      </c>
    </row>
    <row r="804" spans="1:6" ht="39" hidden="1" x14ac:dyDescent="0.3">
      <c r="A804" s="87" t="s">
        <v>698</v>
      </c>
      <c r="B804" s="81" t="s">
        <v>390</v>
      </c>
      <c r="C804" s="88" t="s">
        <v>1051</v>
      </c>
      <c r="D804" s="83">
        <f t="shared" si="90"/>
        <v>0</v>
      </c>
      <c r="E804" s="83">
        <f t="shared" si="90"/>
        <v>0</v>
      </c>
      <c r="F804" s="84">
        <f>D804-E804</f>
        <v>0</v>
      </c>
    </row>
    <row r="805" spans="1:6" ht="23" hidden="1" x14ac:dyDescent="0.25">
      <c r="A805" s="90" t="s">
        <v>492</v>
      </c>
      <c r="B805" s="94" t="s">
        <v>390</v>
      </c>
      <c r="C805" s="91" t="s">
        <v>1052</v>
      </c>
      <c r="D805" s="92">
        <f t="shared" si="90"/>
        <v>0</v>
      </c>
      <c r="E805" s="92">
        <f t="shared" si="90"/>
        <v>0</v>
      </c>
      <c r="F805" s="93">
        <f>D805-E805</f>
        <v>0</v>
      </c>
    </row>
    <row r="806" spans="1:6" ht="34.5" hidden="1" x14ac:dyDescent="0.25">
      <c r="A806" s="90" t="s">
        <v>398</v>
      </c>
      <c r="B806" s="94" t="s">
        <v>390</v>
      </c>
      <c r="C806" s="91" t="s">
        <v>1053</v>
      </c>
      <c r="D806" s="92">
        <f t="shared" si="90"/>
        <v>0</v>
      </c>
      <c r="E806" s="92">
        <f t="shared" si="90"/>
        <v>0</v>
      </c>
      <c r="F806" s="93">
        <f>D806-E806</f>
        <v>0</v>
      </c>
    </row>
    <row r="807" spans="1:6" hidden="1" x14ac:dyDescent="0.25">
      <c r="A807" s="90" t="s">
        <v>400</v>
      </c>
      <c r="B807" s="94" t="s">
        <v>390</v>
      </c>
      <c r="C807" s="91" t="s">
        <v>1054</v>
      </c>
      <c r="D807" s="92"/>
      <c r="E807" s="92"/>
      <c r="F807" s="93">
        <f>D807-E807</f>
        <v>0</v>
      </c>
    </row>
    <row r="808" spans="1:6" ht="13" x14ac:dyDescent="0.3">
      <c r="A808" s="87" t="s">
        <v>1055</v>
      </c>
      <c r="B808" s="81" t="s">
        <v>390</v>
      </c>
      <c r="C808" s="107" t="s">
        <v>1056</v>
      </c>
      <c r="D808" s="83">
        <f>D809+D818+D827+D845+D850</f>
        <v>29668393</v>
      </c>
      <c r="E808" s="83">
        <f>E809+E818+E827+E845+E850</f>
        <v>28592391.629999999</v>
      </c>
      <c r="F808" s="84">
        <f t="shared" si="82"/>
        <v>1076001.370000001</v>
      </c>
    </row>
    <row r="809" spans="1:6" ht="52" x14ac:dyDescent="0.3">
      <c r="A809" s="87" t="s">
        <v>1057</v>
      </c>
      <c r="B809" s="81" t="s">
        <v>390</v>
      </c>
      <c r="C809" s="88" t="s">
        <v>1058</v>
      </c>
      <c r="D809" s="83">
        <f>D810+D814</f>
        <v>1000000</v>
      </c>
      <c r="E809" s="83">
        <f>E810+E814</f>
        <v>302043.71999999997</v>
      </c>
      <c r="F809" s="84">
        <f t="shared" si="82"/>
        <v>697956.28</v>
      </c>
    </row>
    <row r="810" spans="1:6" ht="57.5" x14ac:dyDescent="0.3">
      <c r="A810" s="89" t="s">
        <v>1059</v>
      </c>
      <c r="B810" s="81" t="s">
        <v>390</v>
      </c>
      <c r="C810" s="88" t="s">
        <v>1060</v>
      </c>
      <c r="D810" s="83">
        <f t="shared" ref="D810:E816" si="91">D811</f>
        <v>1000000</v>
      </c>
      <c r="E810" s="83">
        <f t="shared" si="91"/>
        <v>302043.71999999997</v>
      </c>
      <c r="F810" s="84">
        <f t="shared" si="82"/>
        <v>697956.28</v>
      </c>
    </row>
    <row r="811" spans="1:6" ht="23" x14ac:dyDescent="0.25">
      <c r="A811" s="90" t="s">
        <v>492</v>
      </c>
      <c r="B811" s="94" t="s">
        <v>390</v>
      </c>
      <c r="C811" s="91" t="s">
        <v>1061</v>
      </c>
      <c r="D811" s="92">
        <f t="shared" si="91"/>
        <v>1000000</v>
      </c>
      <c r="E811" s="92">
        <f t="shared" si="91"/>
        <v>302043.71999999997</v>
      </c>
      <c r="F811" s="93">
        <f t="shared" si="82"/>
        <v>697956.28</v>
      </c>
    </row>
    <row r="812" spans="1:6" s="44" customFormat="1" ht="34.5" x14ac:dyDescent="0.3">
      <c r="A812" s="90" t="s">
        <v>398</v>
      </c>
      <c r="B812" s="94" t="s">
        <v>390</v>
      </c>
      <c r="C812" s="91" t="s">
        <v>1062</v>
      </c>
      <c r="D812" s="92">
        <f t="shared" si="91"/>
        <v>1000000</v>
      </c>
      <c r="E812" s="92">
        <f t="shared" si="91"/>
        <v>302043.71999999997</v>
      </c>
      <c r="F812" s="93">
        <f t="shared" si="82"/>
        <v>697956.28</v>
      </c>
    </row>
    <row r="813" spans="1:6" s="44" customFormat="1" ht="13" x14ac:dyDescent="0.3">
      <c r="A813" s="90" t="s">
        <v>400</v>
      </c>
      <c r="B813" s="94" t="s">
        <v>390</v>
      </c>
      <c r="C813" s="91" t="s">
        <v>1063</v>
      </c>
      <c r="D813" s="92">
        <v>1000000</v>
      </c>
      <c r="E813" s="92">
        <v>302043.71999999997</v>
      </c>
      <c r="F813" s="93">
        <f t="shared" si="82"/>
        <v>697956.28</v>
      </c>
    </row>
    <row r="814" spans="1:6" ht="57.5" hidden="1" x14ac:dyDescent="0.3">
      <c r="A814" s="89" t="s">
        <v>1064</v>
      </c>
      <c r="B814" s="81" t="s">
        <v>390</v>
      </c>
      <c r="C814" s="88" t="s">
        <v>1065</v>
      </c>
      <c r="D814" s="83">
        <f t="shared" si="91"/>
        <v>0</v>
      </c>
      <c r="E814" s="83">
        <f t="shared" si="91"/>
        <v>0</v>
      </c>
      <c r="F814" s="84">
        <f>D814-E814</f>
        <v>0</v>
      </c>
    </row>
    <row r="815" spans="1:6" ht="23" hidden="1" x14ac:dyDescent="0.25">
      <c r="A815" s="90" t="s">
        <v>492</v>
      </c>
      <c r="B815" s="94" t="s">
        <v>390</v>
      </c>
      <c r="C815" s="91" t="s">
        <v>1066</v>
      </c>
      <c r="D815" s="92">
        <f t="shared" si="91"/>
        <v>0</v>
      </c>
      <c r="E815" s="92">
        <f t="shared" si="91"/>
        <v>0</v>
      </c>
      <c r="F815" s="93">
        <f>D815-E815</f>
        <v>0</v>
      </c>
    </row>
    <row r="816" spans="1:6" s="44" customFormat="1" ht="34.5" hidden="1" x14ac:dyDescent="0.3">
      <c r="A816" s="90" t="s">
        <v>398</v>
      </c>
      <c r="B816" s="94" t="s">
        <v>390</v>
      </c>
      <c r="C816" s="91" t="s">
        <v>1067</v>
      </c>
      <c r="D816" s="92">
        <f t="shared" si="91"/>
        <v>0</v>
      </c>
      <c r="E816" s="92">
        <f t="shared" si="91"/>
        <v>0</v>
      </c>
      <c r="F816" s="93">
        <f>D816-E816</f>
        <v>0</v>
      </c>
    </row>
    <row r="817" spans="1:6" s="44" customFormat="1" ht="13" hidden="1" x14ac:dyDescent="0.3">
      <c r="A817" s="90" t="s">
        <v>400</v>
      </c>
      <c r="B817" s="94" t="s">
        <v>390</v>
      </c>
      <c r="C817" s="91" t="s">
        <v>1068</v>
      </c>
      <c r="D817" s="92"/>
      <c r="E817" s="92"/>
      <c r="F817" s="93">
        <f>D817-E817</f>
        <v>0</v>
      </c>
    </row>
    <row r="818" spans="1:6" s="44" customFormat="1" ht="39" hidden="1" x14ac:dyDescent="0.3">
      <c r="A818" s="87" t="s">
        <v>1069</v>
      </c>
      <c r="B818" s="81" t="s">
        <v>390</v>
      </c>
      <c r="C818" s="88" t="s">
        <v>1070</v>
      </c>
      <c r="D818" s="83">
        <f>D819+D823</f>
        <v>0</v>
      </c>
      <c r="E818" s="83">
        <f>E819+E823</f>
        <v>0</v>
      </c>
      <c r="F818" s="84">
        <f t="shared" si="82"/>
        <v>0</v>
      </c>
    </row>
    <row r="819" spans="1:6" s="44" customFormat="1" ht="46" hidden="1" x14ac:dyDescent="0.3">
      <c r="A819" s="89" t="s">
        <v>1071</v>
      </c>
      <c r="B819" s="81" t="s">
        <v>390</v>
      </c>
      <c r="C819" s="88" t="s">
        <v>1072</v>
      </c>
      <c r="D819" s="83">
        <f t="shared" ref="D819:E821" si="92">D820</f>
        <v>0</v>
      </c>
      <c r="E819" s="83">
        <f t="shared" si="92"/>
        <v>0</v>
      </c>
      <c r="F819" s="84">
        <f>D819-E819</f>
        <v>0</v>
      </c>
    </row>
    <row r="820" spans="1:6" s="44" customFormat="1" ht="13" hidden="1" x14ac:dyDescent="0.3">
      <c r="A820" s="90" t="s">
        <v>500</v>
      </c>
      <c r="B820" s="94" t="s">
        <v>390</v>
      </c>
      <c r="C820" s="91" t="s">
        <v>1073</v>
      </c>
      <c r="D820" s="92">
        <f t="shared" si="92"/>
        <v>0</v>
      </c>
      <c r="E820" s="92">
        <f t="shared" si="92"/>
        <v>0</v>
      </c>
      <c r="F820" s="93">
        <f>D820-E820</f>
        <v>0</v>
      </c>
    </row>
    <row r="821" spans="1:6" s="44" customFormat="1" ht="46" hidden="1" x14ac:dyDescent="0.3">
      <c r="A821" s="90" t="s">
        <v>995</v>
      </c>
      <c r="B821" s="94" t="s">
        <v>390</v>
      </c>
      <c r="C821" s="91" t="s">
        <v>1074</v>
      </c>
      <c r="D821" s="92">
        <f t="shared" si="92"/>
        <v>0</v>
      </c>
      <c r="E821" s="92">
        <f t="shared" si="92"/>
        <v>0</v>
      </c>
      <c r="F821" s="93">
        <f>D821-E821</f>
        <v>0</v>
      </c>
    </row>
    <row r="822" spans="1:6" s="44" customFormat="1" ht="48" hidden="1" customHeight="1" x14ac:dyDescent="0.3">
      <c r="A822" s="90" t="s">
        <v>997</v>
      </c>
      <c r="B822" s="94" t="s">
        <v>390</v>
      </c>
      <c r="C822" s="91" t="s">
        <v>1075</v>
      </c>
      <c r="D822" s="92">
        <f>400000-400000</f>
        <v>0</v>
      </c>
      <c r="E822" s="92"/>
      <c r="F822" s="93">
        <f>D822-E822</f>
        <v>0</v>
      </c>
    </row>
    <row r="823" spans="1:6" s="44" customFormat="1" ht="80.5" hidden="1" x14ac:dyDescent="0.3">
      <c r="A823" s="89" t="s">
        <v>1076</v>
      </c>
      <c r="B823" s="81" t="s">
        <v>390</v>
      </c>
      <c r="C823" s="88" t="s">
        <v>1077</v>
      </c>
      <c r="D823" s="83">
        <f t="shared" ref="D823:E825" si="93">D824</f>
        <v>0</v>
      </c>
      <c r="E823" s="83">
        <f t="shared" si="93"/>
        <v>0</v>
      </c>
      <c r="F823" s="84">
        <f t="shared" si="82"/>
        <v>0</v>
      </c>
    </row>
    <row r="824" spans="1:6" hidden="1" x14ac:dyDescent="0.25">
      <c r="A824" s="90" t="s">
        <v>500</v>
      </c>
      <c r="B824" s="94" t="s">
        <v>390</v>
      </c>
      <c r="C824" s="91" t="s">
        <v>1078</v>
      </c>
      <c r="D824" s="92">
        <f t="shared" si="93"/>
        <v>0</v>
      </c>
      <c r="E824" s="92">
        <f t="shared" si="93"/>
        <v>0</v>
      </c>
      <c r="F824" s="93">
        <f>D824-E824</f>
        <v>0</v>
      </c>
    </row>
    <row r="825" spans="1:6" ht="46" hidden="1" x14ac:dyDescent="0.25">
      <c r="A825" s="90" t="s">
        <v>995</v>
      </c>
      <c r="B825" s="94" t="s">
        <v>390</v>
      </c>
      <c r="C825" s="91" t="s">
        <v>1079</v>
      </c>
      <c r="D825" s="92">
        <f t="shared" si="93"/>
        <v>0</v>
      </c>
      <c r="E825" s="92">
        <f t="shared" si="93"/>
        <v>0</v>
      </c>
      <c r="F825" s="93">
        <f>D825-E825</f>
        <v>0</v>
      </c>
    </row>
    <row r="826" spans="1:6" ht="48" hidden="1" customHeight="1" x14ac:dyDescent="0.25">
      <c r="A826" s="90" t="s">
        <v>997</v>
      </c>
      <c r="B826" s="94" t="s">
        <v>390</v>
      </c>
      <c r="C826" s="91" t="s">
        <v>1080</v>
      </c>
      <c r="D826" s="92">
        <f>100000-100000</f>
        <v>0</v>
      </c>
      <c r="E826" s="92"/>
      <c r="F826" s="93">
        <f>D826-E826</f>
        <v>0</v>
      </c>
    </row>
    <row r="827" spans="1:6" ht="34.5" x14ac:dyDescent="0.3">
      <c r="A827" s="89" t="s">
        <v>1081</v>
      </c>
      <c r="B827" s="81" t="s">
        <v>390</v>
      </c>
      <c r="C827" s="88" t="s">
        <v>1082</v>
      </c>
      <c r="D827" s="83">
        <f>D828+D832</f>
        <v>28368393</v>
      </c>
      <c r="E827" s="83">
        <f>E828+E832</f>
        <v>27998073.91</v>
      </c>
      <c r="F827" s="84">
        <f t="shared" si="82"/>
        <v>370319.08999999985</v>
      </c>
    </row>
    <row r="828" spans="1:6" ht="47.5" customHeight="1" x14ac:dyDescent="0.3">
      <c r="A828" s="89" t="s">
        <v>1083</v>
      </c>
      <c r="B828" s="81" t="s">
        <v>390</v>
      </c>
      <c r="C828" s="88" t="s">
        <v>1084</v>
      </c>
      <c r="D828" s="83">
        <f t="shared" ref="D828:E830" si="94">D829</f>
        <v>2625223</v>
      </c>
      <c r="E828" s="83">
        <f t="shared" si="94"/>
        <v>2254903.91</v>
      </c>
      <c r="F828" s="84">
        <f t="shared" si="82"/>
        <v>370319.08999999985</v>
      </c>
    </row>
    <row r="829" spans="1:6" ht="23" x14ac:dyDescent="0.25">
      <c r="A829" s="121" t="s">
        <v>492</v>
      </c>
      <c r="B829" s="94" t="s">
        <v>390</v>
      </c>
      <c r="C829" s="91" t="s">
        <v>1085</v>
      </c>
      <c r="D829" s="92">
        <f t="shared" si="94"/>
        <v>2625223</v>
      </c>
      <c r="E829" s="92">
        <f t="shared" si="94"/>
        <v>2254903.91</v>
      </c>
      <c r="F829" s="93">
        <f t="shared" si="82"/>
        <v>370319.08999999985</v>
      </c>
    </row>
    <row r="830" spans="1:6" ht="34.5" x14ac:dyDescent="0.25">
      <c r="A830" s="90" t="s">
        <v>398</v>
      </c>
      <c r="B830" s="94" t="s">
        <v>390</v>
      </c>
      <c r="C830" s="91" t="s">
        <v>1086</v>
      </c>
      <c r="D830" s="92">
        <f t="shared" si="94"/>
        <v>2625223</v>
      </c>
      <c r="E830" s="92">
        <f t="shared" si="94"/>
        <v>2254903.91</v>
      </c>
      <c r="F830" s="93">
        <f t="shared" si="82"/>
        <v>370319.08999999985</v>
      </c>
    </row>
    <row r="831" spans="1:6" x14ac:dyDescent="0.25">
      <c r="A831" s="90" t="s">
        <v>400</v>
      </c>
      <c r="B831" s="94" t="s">
        <v>390</v>
      </c>
      <c r="C831" s="91" t="s">
        <v>1087</v>
      </c>
      <c r="D831" s="92">
        <v>2625223</v>
      </c>
      <c r="E831" s="92">
        <v>2254903.91</v>
      </c>
      <c r="F831" s="93">
        <f t="shared" si="82"/>
        <v>370319.08999999985</v>
      </c>
    </row>
    <row r="832" spans="1:6" ht="71.5" customHeight="1" x14ac:dyDescent="0.3">
      <c r="A832" s="89" t="s">
        <v>1088</v>
      </c>
      <c r="B832" s="81" t="s">
        <v>390</v>
      </c>
      <c r="C832" s="88" t="s">
        <v>1089</v>
      </c>
      <c r="D832" s="83">
        <f t="shared" ref="D832:E834" si="95">D833</f>
        <v>25743170</v>
      </c>
      <c r="E832" s="83">
        <f t="shared" si="95"/>
        <v>25743170</v>
      </c>
      <c r="F832" s="84">
        <f>D832-E832</f>
        <v>0</v>
      </c>
    </row>
    <row r="833" spans="1:6" ht="34.5" x14ac:dyDescent="0.25">
      <c r="A833" s="90" t="s">
        <v>926</v>
      </c>
      <c r="B833" s="94" t="s">
        <v>390</v>
      </c>
      <c r="C833" s="91" t="s">
        <v>1090</v>
      </c>
      <c r="D833" s="92">
        <f t="shared" si="95"/>
        <v>25743170</v>
      </c>
      <c r="E833" s="92">
        <f t="shared" si="95"/>
        <v>25743170</v>
      </c>
      <c r="F833" s="93">
        <f>D833-E833</f>
        <v>0</v>
      </c>
    </row>
    <row r="834" spans="1:6" ht="34.5" x14ac:dyDescent="0.25">
      <c r="A834" s="121" t="s">
        <v>398</v>
      </c>
      <c r="B834" s="94" t="s">
        <v>390</v>
      </c>
      <c r="C834" s="91" t="s">
        <v>1091</v>
      </c>
      <c r="D834" s="92">
        <f t="shared" si="95"/>
        <v>25743170</v>
      </c>
      <c r="E834" s="92">
        <f t="shared" si="95"/>
        <v>25743170</v>
      </c>
      <c r="F834" s="93">
        <f>D834-E834</f>
        <v>0</v>
      </c>
    </row>
    <row r="835" spans="1:6" x14ac:dyDescent="0.25">
      <c r="A835" s="90" t="s">
        <v>400</v>
      </c>
      <c r="B835" s="94" t="s">
        <v>390</v>
      </c>
      <c r="C835" s="91" t="s">
        <v>1092</v>
      </c>
      <c r="D835" s="92">
        <f>D840+D844</f>
        <v>25743170</v>
      </c>
      <c r="E835" s="92">
        <f>E840+E844</f>
        <v>25743170</v>
      </c>
      <c r="F835" s="93">
        <f>D835-E835</f>
        <v>0</v>
      </c>
    </row>
    <row r="836" spans="1:6" ht="13" x14ac:dyDescent="0.25">
      <c r="A836" s="87" t="s">
        <v>121</v>
      </c>
      <c r="B836" s="94"/>
      <c r="C836" s="120"/>
      <c r="D836" s="92"/>
      <c r="E836" s="92"/>
      <c r="F836" s="93"/>
    </row>
    <row r="837" spans="1:6" ht="13.5" x14ac:dyDescent="0.3">
      <c r="A837" s="97" t="s">
        <v>414</v>
      </c>
      <c r="B837" s="81" t="s">
        <v>390</v>
      </c>
      <c r="C837" s="88" t="s">
        <v>1089</v>
      </c>
      <c r="D837" s="83">
        <f t="shared" ref="D837:E839" si="96">D838</f>
        <v>7980400</v>
      </c>
      <c r="E837" s="83">
        <f t="shared" si="96"/>
        <v>7980400</v>
      </c>
      <c r="F837" s="84">
        <f t="shared" ref="F837:F844" si="97">D837-E837</f>
        <v>0</v>
      </c>
    </row>
    <row r="838" spans="1:6" ht="34.5" x14ac:dyDescent="0.25">
      <c r="A838" s="90" t="s">
        <v>926</v>
      </c>
      <c r="B838" s="94" t="s">
        <v>390</v>
      </c>
      <c r="C838" s="91" t="s">
        <v>1090</v>
      </c>
      <c r="D838" s="92">
        <f t="shared" si="96"/>
        <v>7980400</v>
      </c>
      <c r="E838" s="92">
        <f t="shared" si="96"/>
        <v>7980400</v>
      </c>
      <c r="F838" s="93">
        <f t="shared" si="97"/>
        <v>0</v>
      </c>
    </row>
    <row r="839" spans="1:6" ht="34.5" x14ac:dyDescent="0.25">
      <c r="A839" s="121" t="s">
        <v>398</v>
      </c>
      <c r="B839" s="94" t="s">
        <v>390</v>
      </c>
      <c r="C839" s="91" t="s">
        <v>1091</v>
      </c>
      <c r="D839" s="92">
        <f t="shared" si="96"/>
        <v>7980400</v>
      </c>
      <c r="E839" s="92">
        <f t="shared" si="96"/>
        <v>7980400</v>
      </c>
      <c r="F839" s="93">
        <f t="shared" si="97"/>
        <v>0</v>
      </c>
    </row>
    <row r="840" spans="1:6" x14ac:dyDescent="0.25">
      <c r="A840" s="90" t="s">
        <v>400</v>
      </c>
      <c r="B840" s="94" t="s">
        <v>390</v>
      </c>
      <c r="C840" s="91" t="s">
        <v>1092</v>
      </c>
      <c r="D840" s="92">
        <v>7980400</v>
      </c>
      <c r="E840" s="92">
        <v>7980400</v>
      </c>
      <c r="F840" s="93">
        <f t="shared" si="97"/>
        <v>0</v>
      </c>
    </row>
    <row r="841" spans="1:6" ht="13.5" x14ac:dyDescent="0.3">
      <c r="A841" s="97" t="s">
        <v>415</v>
      </c>
      <c r="B841" s="81" t="s">
        <v>390</v>
      </c>
      <c r="C841" s="88" t="s">
        <v>1089</v>
      </c>
      <c r="D841" s="83">
        <f t="shared" ref="D841:E843" si="98">D842</f>
        <v>17762770</v>
      </c>
      <c r="E841" s="83">
        <f t="shared" si="98"/>
        <v>17762770</v>
      </c>
      <c r="F841" s="84">
        <f t="shared" si="97"/>
        <v>0</v>
      </c>
    </row>
    <row r="842" spans="1:6" ht="34.5" x14ac:dyDescent="0.25">
      <c r="A842" s="90" t="s">
        <v>926</v>
      </c>
      <c r="B842" s="94" t="s">
        <v>390</v>
      </c>
      <c r="C842" s="91" t="s">
        <v>1090</v>
      </c>
      <c r="D842" s="92">
        <f t="shared" si="98"/>
        <v>17762770</v>
      </c>
      <c r="E842" s="92">
        <f t="shared" si="98"/>
        <v>17762770</v>
      </c>
      <c r="F842" s="93">
        <f t="shared" si="97"/>
        <v>0</v>
      </c>
    </row>
    <row r="843" spans="1:6" ht="34.5" x14ac:dyDescent="0.25">
      <c r="A843" s="121" t="s">
        <v>398</v>
      </c>
      <c r="B843" s="94" t="s">
        <v>390</v>
      </c>
      <c r="C843" s="91" t="s">
        <v>1091</v>
      </c>
      <c r="D843" s="92">
        <f t="shared" si="98"/>
        <v>17762770</v>
      </c>
      <c r="E843" s="92">
        <f t="shared" si="98"/>
        <v>17762770</v>
      </c>
      <c r="F843" s="93">
        <f t="shared" si="97"/>
        <v>0</v>
      </c>
    </row>
    <row r="844" spans="1:6" x14ac:dyDescent="0.25">
      <c r="A844" s="90" t="s">
        <v>400</v>
      </c>
      <c r="B844" s="94" t="s">
        <v>390</v>
      </c>
      <c r="C844" s="91" t="s">
        <v>1092</v>
      </c>
      <c r="D844" s="92">
        <v>17762770</v>
      </c>
      <c r="E844" s="92">
        <v>17762770</v>
      </c>
      <c r="F844" s="93">
        <f t="shared" si="97"/>
        <v>0</v>
      </c>
    </row>
    <row r="845" spans="1:6" ht="52" hidden="1" x14ac:dyDescent="0.3">
      <c r="A845" s="87" t="s">
        <v>1093</v>
      </c>
      <c r="B845" s="81" t="s">
        <v>390</v>
      </c>
      <c r="C845" s="88" t="s">
        <v>1094</v>
      </c>
      <c r="D845" s="83">
        <f t="shared" ref="D845:E848" si="99">D846</f>
        <v>0</v>
      </c>
      <c r="E845" s="83">
        <f t="shared" si="99"/>
        <v>0</v>
      </c>
      <c r="F845" s="84">
        <f>D845-E845</f>
        <v>0</v>
      </c>
    </row>
    <row r="846" spans="1:6" ht="119.5" hidden="1" customHeight="1" x14ac:dyDescent="0.3">
      <c r="A846" s="89" t="s">
        <v>1095</v>
      </c>
      <c r="B846" s="81" t="s">
        <v>390</v>
      </c>
      <c r="C846" s="88" t="s">
        <v>1096</v>
      </c>
      <c r="D846" s="83">
        <f t="shared" si="99"/>
        <v>0</v>
      </c>
      <c r="E846" s="83">
        <f t="shared" si="99"/>
        <v>0</v>
      </c>
      <c r="F846" s="84">
        <f>D846-E846</f>
        <v>0</v>
      </c>
    </row>
    <row r="847" spans="1:6" ht="23" hidden="1" x14ac:dyDescent="0.25">
      <c r="A847" s="121" t="s">
        <v>492</v>
      </c>
      <c r="B847" s="94" t="s">
        <v>390</v>
      </c>
      <c r="C847" s="91" t="s">
        <v>1097</v>
      </c>
      <c r="D847" s="92">
        <f t="shared" si="99"/>
        <v>0</v>
      </c>
      <c r="E847" s="92">
        <f t="shared" si="99"/>
        <v>0</v>
      </c>
      <c r="F847" s="93">
        <f>D847-E847</f>
        <v>0</v>
      </c>
    </row>
    <row r="848" spans="1:6" ht="34.5" hidden="1" x14ac:dyDescent="0.25">
      <c r="A848" s="90" t="s">
        <v>398</v>
      </c>
      <c r="B848" s="94" t="s">
        <v>390</v>
      </c>
      <c r="C848" s="91" t="s">
        <v>1098</v>
      </c>
      <c r="D848" s="92">
        <f t="shared" si="99"/>
        <v>0</v>
      </c>
      <c r="E848" s="92">
        <f t="shared" si="99"/>
        <v>0</v>
      </c>
      <c r="F848" s="93">
        <f>D848-E848</f>
        <v>0</v>
      </c>
    </row>
    <row r="849" spans="1:6" hidden="1" x14ac:dyDescent="0.25">
      <c r="A849" s="90" t="s">
        <v>400</v>
      </c>
      <c r="B849" s="94" t="s">
        <v>390</v>
      </c>
      <c r="C849" s="91" t="s">
        <v>1099</v>
      </c>
      <c r="D849" s="92"/>
      <c r="E849" s="92"/>
      <c r="F849" s="93">
        <f>D849-E849</f>
        <v>0</v>
      </c>
    </row>
    <row r="850" spans="1:6" s="44" customFormat="1" ht="26" x14ac:dyDescent="0.3">
      <c r="A850" s="87" t="s">
        <v>1100</v>
      </c>
      <c r="B850" s="108" t="s">
        <v>390</v>
      </c>
      <c r="C850" s="88" t="s">
        <v>1101</v>
      </c>
      <c r="D850" s="83">
        <f>D851+D859+D855</f>
        <v>300000</v>
      </c>
      <c r="E850" s="83">
        <f>E851+E859+E855</f>
        <v>292274</v>
      </c>
      <c r="F850" s="84">
        <f t="shared" si="82"/>
        <v>7726</v>
      </c>
    </row>
    <row r="851" spans="1:6" s="44" customFormat="1" ht="78" x14ac:dyDescent="0.3">
      <c r="A851" s="87" t="s">
        <v>1102</v>
      </c>
      <c r="B851" s="81" t="s">
        <v>390</v>
      </c>
      <c r="C851" s="88" t="s">
        <v>1103</v>
      </c>
      <c r="D851" s="83">
        <f>D852</f>
        <v>300000</v>
      </c>
      <c r="E851" s="83">
        <f>E852</f>
        <v>292274</v>
      </c>
      <c r="F851" s="84">
        <f t="shared" si="82"/>
        <v>7726</v>
      </c>
    </row>
    <row r="852" spans="1:6" s="44" customFormat="1" ht="13" x14ac:dyDescent="0.3">
      <c r="A852" s="90" t="s">
        <v>500</v>
      </c>
      <c r="B852" s="94" t="s">
        <v>390</v>
      </c>
      <c r="C852" s="91" t="s">
        <v>1104</v>
      </c>
      <c r="D852" s="92">
        <f>D853</f>
        <v>300000</v>
      </c>
      <c r="E852" s="92">
        <f>E853</f>
        <v>292274</v>
      </c>
      <c r="F852" s="93">
        <f t="shared" si="82"/>
        <v>7726</v>
      </c>
    </row>
    <row r="853" spans="1:6" s="44" customFormat="1" ht="46" x14ac:dyDescent="0.3">
      <c r="A853" s="90" t="s">
        <v>995</v>
      </c>
      <c r="B853" s="94" t="s">
        <v>390</v>
      </c>
      <c r="C853" s="91" t="s">
        <v>1105</v>
      </c>
      <c r="D853" s="92">
        <f>SUM(D854:D854)</f>
        <v>300000</v>
      </c>
      <c r="E853" s="92">
        <f>SUM(E854:E854)</f>
        <v>292274</v>
      </c>
      <c r="F853" s="93">
        <f t="shared" si="82"/>
        <v>7726</v>
      </c>
    </row>
    <row r="854" spans="1:6" s="44" customFormat="1" ht="57.5" x14ac:dyDescent="0.3">
      <c r="A854" s="90" t="s">
        <v>1106</v>
      </c>
      <c r="B854" s="94" t="s">
        <v>390</v>
      </c>
      <c r="C854" s="91" t="s">
        <v>1107</v>
      </c>
      <c r="D854" s="92">
        <v>300000</v>
      </c>
      <c r="E854" s="92">
        <v>292274</v>
      </c>
      <c r="F854" s="93">
        <f t="shared" si="82"/>
        <v>7726</v>
      </c>
    </row>
    <row r="855" spans="1:6" ht="23" hidden="1" x14ac:dyDescent="0.3">
      <c r="A855" s="89" t="s">
        <v>691</v>
      </c>
      <c r="B855" s="94" t="s">
        <v>390</v>
      </c>
      <c r="C855" s="88" t="s">
        <v>1108</v>
      </c>
      <c r="D855" s="83">
        <f t="shared" ref="D855:E857" si="100">D856</f>
        <v>0</v>
      </c>
      <c r="E855" s="83">
        <f t="shared" si="100"/>
        <v>0</v>
      </c>
      <c r="F855" s="84">
        <f t="shared" ref="F855:F1006" si="101">D855-E855</f>
        <v>0</v>
      </c>
    </row>
    <row r="856" spans="1:6" ht="23" hidden="1" x14ac:dyDescent="0.25">
      <c r="A856" s="90" t="s">
        <v>492</v>
      </c>
      <c r="B856" s="94" t="s">
        <v>390</v>
      </c>
      <c r="C856" s="91" t="s">
        <v>1109</v>
      </c>
      <c r="D856" s="92">
        <f t="shared" si="100"/>
        <v>0</v>
      </c>
      <c r="E856" s="92">
        <f t="shared" si="100"/>
        <v>0</v>
      </c>
      <c r="F856" s="93">
        <f t="shared" si="101"/>
        <v>0</v>
      </c>
    </row>
    <row r="857" spans="1:6" ht="34.5" hidden="1" x14ac:dyDescent="0.25">
      <c r="A857" s="90" t="s">
        <v>398</v>
      </c>
      <c r="B857" s="94" t="s">
        <v>390</v>
      </c>
      <c r="C857" s="91" t="s">
        <v>1110</v>
      </c>
      <c r="D857" s="92">
        <f t="shared" si="100"/>
        <v>0</v>
      </c>
      <c r="E857" s="92">
        <f t="shared" si="100"/>
        <v>0</v>
      </c>
      <c r="F857" s="93">
        <f t="shared" si="101"/>
        <v>0</v>
      </c>
    </row>
    <row r="858" spans="1:6" hidden="1" x14ac:dyDescent="0.25">
      <c r="A858" s="90" t="s">
        <v>400</v>
      </c>
      <c r="B858" s="94" t="s">
        <v>390</v>
      </c>
      <c r="C858" s="91" t="s">
        <v>1111</v>
      </c>
      <c r="D858" s="92"/>
      <c r="E858" s="92"/>
      <c r="F858" s="93">
        <f t="shared" si="101"/>
        <v>0</v>
      </c>
    </row>
    <row r="859" spans="1:6" ht="34.5" hidden="1" x14ac:dyDescent="0.3">
      <c r="A859" s="89" t="s">
        <v>698</v>
      </c>
      <c r="B859" s="94" t="s">
        <v>390</v>
      </c>
      <c r="C859" s="88" t="s">
        <v>1112</v>
      </c>
      <c r="D859" s="83">
        <f t="shared" ref="D859:E861" si="102">D860</f>
        <v>0</v>
      </c>
      <c r="E859" s="83">
        <f t="shared" si="102"/>
        <v>0</v>
      </c>
      <c r="F859" s="84">
        <f t="shared" si="101"/>
        <v>0</v>
      </c>
    </row>
    <row r="860" spans="1:6" ht="23" hidden="1" x14ac:dyDescent="0.25">
      <c r="A860" s="90" t="s">
        <v>492</v>
      </c>
      <c r="B860" s="94" t="s">
        <v>390</v>
      </c>
      <c r="C860" s="91" t="s">
        <v>1113</v>
      </c>
      <c r="D860" s="92">
        <f t="shared" si="102"/>
        <v>0</v>
      </c>
      <c r="E860" s="92">
        <f t="shared" si="102"/>
        <v>0</v>
      </c>
      <c r="F860" s="93">
        <f t="shared" si="101"/>
        <v>0</v>
      </c>
    </row>
    <row r="861" spans="1:6" ht="34.5" hidden="1" x14ac:dyDescent="0.25">
      <c r="A861" s="90" t="s">
        <v>398</v>
      </c>
      <c r="B861" s="94" t="s">
        <v>390</v>
      </c>
      <c r="C861" s="91" t="s">
        <v>1114</v>
      </c>
      <c r="D861" s="92">
        <f t="shared" si="102"/>
        <v>0</v>
      </c>
      <c r="E861" s="92">
        <f t="shared" si="102"/>
        <v>0</v>
      </c>
      <c r="F861" s="93">
        <f t="shared" si="101"/>
        <v>0</v>
      </c>
    </row>
    <row r="862" spans="1:6" hidden="1" x14ac:dyDescent="0.25">
      <c r="A862" s="90" t="s">
        <v>400</v>
      </c>
      <c r="B862" s="94" t="s">
        <v>390</v>
      </c>
      <c r="C862" s="91" t="s">
        <v>1115</v>
      </c>
      <c r="D862" s="92"/>
      <c r="E862" s="92"/>
      <c r="F862" s="93">
        <f t="shared" si="101"/>
        <v>0</v>
      </c>
    </row>
    <row r="863" spans="1:6" ht="13" x14ac:dyDescent="0.3">
      <c r="A863" s="87" t="s">
        <v>1116</v>
      </c>
      <c r="B863" s="81" t="s">
        <v>390</v>
      </c>
      <c r="C863" s="107" t="s">
        <v>1117</v>
      </c>
      <c r="D863" s="83">
        <f>D864+D873+D894+D899+D959+D973</f>
        <v>254048591.48000002</v>
      </c>
      <c r="E863" s="83">
        <f>E864+E873+E894+E899+E959+E973</f>
        <v>247199439.22</v>
      </c>
      <c r="F863" s="84">
        <f t="shared" si="101"/>
        <v>6849152.2600000203</v>
      </c>
    </row>
    <row r="864" spans="1:6" ht="26" x14ac:dyDescent="0.3">
      <c r="A864" s="87" t="s">
        <v>1118</v>
      </c>
      <c r="B864" s="81" t="s">
        <v>390</v>
      </c>
      <c r="C864" s="88" t="s">
        <v>1119</v>
      </c>
      <c r="D864" s="83">
        <f>D865+D869</f>
        <v>3188437</v>
      </c>
      <c r="E864" s="83">
        <f>E865+E869</f>
        <v>3159103.92</v>
      </c>
      <c r="F864" s="84">
        <f t="shared" si="101"/>
        <v>29333.080000000075</v>
      </c>
    </row>
    <row r="865" spans="1:6" ht="51.65" customHeight="1" x14ac:dyDescent="0.3">
      <c r="A865" s="89" t="s">
        <v>1120</v>
      </c>
      <c r="B865" s="81" t="s">
        <v>390</v>
      </c>
      <c r="C865" s="88" t="s">
        <v>1121</v>
      </c>
      <c r="D865" s="83">
        <f t="shared" ref="D865:E867" si="103">D866</f>
        <v>262879</v>
      </c>
      <c r="E865" s="83">
        <f t="shared" si="103"/>
        <v>238279</v>
      </c>
      <c r="F865" s="84">
        <f t="shared" si="101"/>
        <v>24600</v>
      </c>
    </row>
    <row r="866" spans="1:6" ht="23" x14ac:dyDescent="0.25">
      <c r="A866" s="90" t="s">
        <v>492</v>
      </c>
      <c r="B866" s="94" t="s">
        <v>390</v>
      </c>
      <c r="C866" s="91" t="s">
        <v>1122</v>
      </c>
      <c r="D866" s="92">
        <f t="shared" si="103"/>
        <v>262879</v>
      </c>
      <c r="E866" s="92">
        <f t="shared" si="103"/>
        <v>238279</v>
      </c>
      <c r="F866" s="93">
        <f t="shared" si="101"/>
        <v>24600</v>
      </c>
    </row>
    <row r="867" spans="1:6" ht="34.5" x14ac:dyDescent="0.25">
      <c r="A867" s="90" t="s">
        <v>398</v>
      </c>
      <c r="B867" s="94" t="s">
        <v>390</v>
      </c>
      <c r="C867" s="91" t="s">
        <v>1123</v>
      </c>
      <c r="D867" s="92">
        <f t="shared" si="103"/>
        <v>262879</v>
      </c>
      <c r="E867" s="92">
        <f t="shared" si="103"/>
        <v>238279</v>
      </c>
      <c r="F867" s="93">
        <f t="shared" si="101"/>
        <v>24600</v>
      </c>
    </row>
    <row r="868" spans="1:6" s="44" customFormat="1" ht="13" x14ac:dyDescent="0.3">
      <c r="A868" s="90" t="s">
        <v>400</v>
      </c>
      <c r="B868" s="94" t="s">
        <v>390</v>
      </c>
      <c r="C868" s="91" t="s">
        <v>1124</v>
      </c>
      <c r="D868" s="92">
        <v>262879</v>
      </c>
      <c r="E868" s="92">
        <v>238279</v>
      </c>
      <c r="F868" s="93">
        <f t="shared" si="101"/>
        <v>24600</v>
      </c>
    </row>
    <row r="869" spans="1:6" ht="46" x14ac:dyDescent="0.3">
      <c r="A869" s="89" t="s">
        <v>1125</v>
      </c>
      <c r="B869" s="81" t="s">
        <v>390</v>
      </c>
      <c r="C869" s="88" t="s">
        <v>1126</v>
      </c>
      <c r="D869" s="83">
        <f t="shared" ref="D869:E871" si="104">D870</f>
        <v>2925558</v>
      </c>
      <c r="E869" s="83">
        <f t="shared" si="104"/>
        <v>2920824.92</v>
      </c>
      <c r="F869" s="84">
        <f t="shared" si="101"/>
        <v>4733.0800000000745</v>
      </c>
    </row>
    <row r="870" spans="1:6" ht="23" x14ac:dyDescent="0.25">
      <c r="A870" s="121" t="s">
        <v>492</v>
      </c>
      <c r="B870" s="94" t="s">
        <v>390</v>
      </c>
      <c r="C870" s="91" t="s">
        <v>1127</v>
      </c>
      <c r="D870" s="92">
        <f t="shared" si="104"/>
        <v>2925558</v>
      </c>
      <c r="E870" s="92">
        <f t="shared" si="104"/>
        <v>2920824.92</v>
      </c>
      <c r="F870" s="93">
        <f t="shared" si="101"/>
        <v>4733.0800000000745</v>
      </c>
    </row>
    <row r="871" spans="1:6" s="44" customFormat="1" ht="34.5" x14ac:dyDescent="0.3">
      <c r="A871" s="90" t="s">
        <v>398</v>
      </c>
      <c r="B871" s="94" t="s">
        <v>390</v>
      </c>
      <c r="C871" s="91" t="s">
        <v>1128</v>
      </c>
      <c r="D871" s="92">
        <f t="shared" si="104"/>
        <v>2925558</v>
      </c>
      <c r="E871" s="92">
        <f t="shared" si="104"/>
        <v>2920824.92</v>
      </c>
      <c r="F871" s="93">
        <f t="shared" si="101"/>
        <v>4733.0800000000745</v>
      </c>
    </row>
    <row r="872" spans="1:6" s="44" customFormat="1" ht="13" x14ac:dyDescent="0.3">
      <c r="A872" s="90" t="s">
        <v>498</v>
      </c>
      <c r="B872" s="94" t="s">
        <v>390</v>
      </c>
      <c r="C872" s="91" t="s">
        <v>1129</v>
      </c>
      <c r="D872" s="92">
        <v>2925558</v>
      </c>
      <c r="E872" s="92">
        <v>2920824.92</v>
      </c>
      <c r="F872" s="93">
        <f t="shared" si="101"/>
        <v>4733.0800000000745</v>
      </c>
    </row>
    <row r="873" spans="1:6" s="44" customFormat="1" ht="39" x14ac:dyDescent="0.3">
      <c r="A873" s="87" t="s">
        <v>1130</v>
      </c>
      <c r="B873" s="81" t="s">
        <v>390</v>
      </c>
      <c r="C873" s="88" t="s">
        <v>1131</v>
      </c>
      <c r="D873" s="83">
        <f>D874+D878+D882+D886+D890</f>
        <v>8398152</v>
      </c>
      <c r="E873" s="83">
        <f>E874+E878+E882+E886+E890</f>
        <v>7872650.2300000004</v>
      </c>
      <c r="F873" s="84">
        <f t="shared" si="101"/>
        <v>525501.76999999955</v>
      </c>
    </row>
    <row r="874" spans="1:6" ht="48" customHeight="1" x14ac:dyDescent="0.3">
      <c r="A874" s="89" t="s">
        <v>1132</v>
      </c>
      <c r="B874" s="81" t="s">
        <v>390</v>
      </c>
      <c r="C874" s="88" t="s">
        <v>1133</v>
      </c>
      <c r="D874" s="83">
        <f t="shared" ref="D874:E876" si="105">D875</f>
        <v>4537200</v>
      </c>
      <c r="E874" s="83">
        <f t="shared" si="105"/>
        <v>4061698.47</v>
      </c>
      <c r="F874" s="84">
        <f t="shared" si="101"/>
        <v>475501.5299999998</v>
      </c>
    </row>
    <row r="875" spans="1:6" ht="23" x14ac:dyDescent="0.25">
      <c r="A875" s="90" t="s">
        <v>492</v>
      </c>
      <c r="B875" s="94" t="s">
        <v>390</v>
      </c>
      <c r="C875" s="91" t="s">
        <v>1134</v>
      </c>
      <c r="D875" s="92">
        <f t="shared" si="105"/>
        <v>4537200</v>
      </c>
      <c r="E875" s="92">
        <f t="shared" si="105"/>
        <v>4061698.47</v>
      </c>
      <c r="F875" s="93">
        <f t="shared" si="101"/>
        <v>475501.5299999998</v>
      </c>
    </row>
    <row r="876" spans="1:6" ht="34.5" x14ac:dyDescent="0.25">
      <c r="A876" s="90" t="s">
        <v>398</v>
      </c>
      <c r="B876" s="94" t="s">
        <v>390</v>
      </c>
      <c r="C876" s="91" t="s">
        <v>1135</v>
      </c>
      <c r="D876" s="92">
        <f t="shared" si="105"/>
        <v>4537200</v>
      </c>
      <c r="E876" s="92">
        <f t="shared" si="105"/>
        <v>4061698.47</v>
      </c>
      <c r="F876" s="93">
        <f t="shared" si="101"/>
        <v>475501.5299999998</v>
      </c>
    </row>
    <row r="877" spans="1:6" x14ac:dyDescent="0.25">
      <c r="A877" s="90" t="s">
        <v>400</v>
      </c>
      <c r="B877" s="94" t="s">
        <v>390</v>
      </c>
      <c r="C877" s="91" t="s">
        <v>1136</v>
      </c>
      <c r="D877" s="92">
        <v>4537200</v>
      </c>
      <c r="E877" s="92">
        <v>4061698.47</v>
      </c>
      <c r="F877" s="93">
        <f t="shared" si="101"/>
        <v>475501.5299999998</v>
      </c>
    </row>
    <row r="878" spans="1:6" ht="48.65" customHeight="1" x14ac:dyDescent="0.3">
      <c r="A878" s="89" t="s">
        <v>1137</v>
      </c>
      <c r="B878" s="81" t="s">
        <v>390</v>
      </c>
      <c r="C878" s="88" t="s">
        <v>1138</v>
      </c>
      <c r="D878" s="83">
        <f t="shared" ref="D878:E880" si="106">D879</f>
        <v>300000</v>
      </c>
      <c r="E878" s="83">
        <f t="shared" si="106"/>
        <v>250000</v>
      </c>
      <c r="F878" s="84">
        <f t="shared" si="101"/>
        <v>50000</v>
      </c>
    </row>
    <row r="879" spans="1:6" s="44" customFormat="1" ht="23" x14ac:dyDescent="0.3">
      <c r="A879" s="90" t="s">
        <v>492</v>
      </c>
      <c r="B879" s="94" t="s">
        <v>390</v>
      </c>
      <c r="C879" s="91" t="s">
        <v>1139</v>
      </c>
      <c r="D879" s="92">
        <f t="shared" si="106"/>
        <v>300000</v>
      </c>
      <c r="E879" s="92">
        <f t="shared" si="106"/>
        <v>250000</v>
      </c>
      <c r="F879" s="93">
        <f>D879-E879</f>
        <v>50000</v>
      </c>
    </row>
    <row r="880" spans="1:6" ht="34.5" x14ac:dyDescent="0.25">
      <c r="A880" s="90" t="s">
        <v>398</v>
      </c>
      <c r="B880" s="94" t="s">
        <v>390</v>
      </c>
      <c r="C880" s="91" t="s">
        <v>1140</v>
      </c>
      <c r="D880" s="92">
        <f t="shared" si="106"/>
        <v>300000</v>
      </c>
      <c r="E880" s="92">
        <f t="shared" si="106"/>
        <v>250000</v>
      </c>
      <c r="F880" s="93">
        <f>D880-E880</f>
        <v>50000</v>
      </c>
    </row>
    <row r="881" spans="1:6" x14ac:dyDescent="0.25">
      <c r="A881" s="90" t="s">
        <v>400</v>
      </c>
      <c r="B881" s="94" t="s">
        <v>390</v>
      </c>
      <c r="C881" s="91" t="s">
        <v>1141</v>
      </c>
      <c r="D881" s="92">
        <v>300000</v>
      </c>
      <c r="E881" s="92">
        <v>250000</v>
      </c>
      <c r="F881" s="93">
        <f>D881-E881</f>
        <v>50000</v>
      </c>
    </row>
    <row r="882" spans="1:6" ht="57.5" x14ac:dyDescent="0.3">
      <c r="A882" s="89" t="s">
        <v>1142</v>
      </c>
      <c r="B882" s="81" t="s">
        <v>390</v>
      </c>
      <c r="C882" s="88" t="s">
        <v>1143</v>
      </c>
      <c r="D882" s="83">
        <f t="shared" ref="D882:E892" si="107">D883</f>
        <v>3460952</v>
      </c>
      <c r="E882" s="83">
        <f t="shared" si="107"/>
        <v>3460951.76</v>
      </c>
      <c r="F882" s="84">
        <f t="shared" si="101"/>
        <v>0.24000000022351742</v>
      </c>
    </row>
    <row r="883" spans="1:6" ht="23" x14ac:dyDescent="0.25">
      <c r="A883" s="90" t="s">
        <v>492</v>
      </c>
      <c r="B883" s="94" t="s">
        <v>390</v>
      </c>
      <c r="C883" s="91" t="s">
        <v>1144</v>
      </c>
      <c r="D883" s="92">
        <f t="shared" si="107"/>
        <v>3460952</v>
      </c>
      <c r="E883" s="92">
        <f t="shared" si="107"/>
        <v>3460951.76</v>
      </c>
      <c r="F883" s="93">
        <f t="shared" si="101"/>
        <v>0.24000000022351742</v>
      </c>
    </row>
    <row r="884" spans="1:6" ht="34.5" x14ac:dyDescent="0.25">
      <c r="A884" s="90" t="s">
        <v>398</v>
      </c>
      <c r="B884" s="94" t="s">
        <v>390</v>
      </c>
      <c r="C884" s="91" t="s">
        <v>1145</v>
      </c>
      <c r="D884" s="92">
        <f t="shared" si="107"/>
        <v>3460952</v>
      </c>
      <c r="E884" s="92">
        <f t="shared" si="107"/>
        <v>3460951.76</v>
      </c>
      <c r="F884" s="93">
        <f t="shared" si="101"/>
        <v>0.24000000022351742</v>
      </c>
    </row>
    <row r="885" spans="1:6" x14ac:dyDescent="0.25">
      <c r="A885" s="90" t="s">
        <v>400</v>
      </c>
      <c r="B885" s="94" t="s">
        <v>390</v>
      </c>
      <c r="C885" s="91" t="s">
        <v>1146</v>
      </c>
      <c r="D885" s="92">
        <v>3460952</v>
      </c>
      <c r="E885" s="92">
        <v>3460951.76</v>
      </c>
      <c r="F885" s="93">
        <f t="shared" si="101"/>
        <v>0.24000000022351742</v>
      </c>
    </row>
    <row r="886" spans="1:6" ht="46" hidden="1" x14ac:dyDescent="0.3">
      <c r="A886" s="89" t="s">
        <v>1147</v>
      </c>
      <c r="B886" s="81" t="s">
        <v>390</v>
      </c>
      <c r="C886" s="88" t="s">
        <v>1148</v>
      </c>
      <c r="D886" s="83">
        <f t="shared" si="107"/>
        <v>0</v>
      </c>
      <c r="E886" s="83">
        <f t="shared" si="107"/>
        <v>0</v>
      </c>
      <c r="F886" s="84">
        <f t="shared" si="101"/>
        <v>0</v>
      </c>
    </row>
    <row r="887" spans="1:6" ht="23" hidden="1" x14ac:dyDescent="0.25">
      <c r="A887" s="90" t="s">
        <v>492</v>
      </c>
      <c r="B887" s="94" t="s">
        <v>390</v>
      </c>
      <c r="C887" s="91" t="s">
        <v>1149</v>
      </c>
      <c r="D887" s="92">
        <f t="shared" si="107"/>
        <v>0</v>
      </c>
      <c r="E887" s="92">
        <f t="shared" si="107"/>
        <v>0</v>
      </c>
      <c r="F887" s="93">
        <f t="shared" si="101"/>
        <v>0</v>
      </c>
    </row>
    <row r="888" spans="1:6" ht="34.5" hidden="1" x14ac:dyDescent="0.25">
      <c r="A888" s="90" t="s">
        <v>398</v>
      </c>
      <c r="B888" s="94" t="s">
        <v>390</v>
      </c>
      <c r="C888" s="91" t="s">
        <v>1150</v>
      </c>
      <c r="D888" s="92">
        <f t="shared" si="107"/>
        <v>0</v>
      </c>
      <c r="E888" s="92">
        <f t="shared" si="107"/>
        <v>0</v>
      </c>
      <c r="F888" s="93">
        <f t="shared" si="101"/>
        <v>0</v>
      </c>
    </row>
    <row r="889" spans="1:6" hidden="1" x14ac:dyDescent="0.25">
      <c r="A889" s="90" t="s">
        <v>400</v>
      </c>
      <c r="B889" s="94" t="s">
        <v>390</v>
      </c>
      <c r="C889" s="91" t="s">
        <v>1151</v>
      </c>
      <c r="D889" s="92"/>
      <c r="E889" s="92"/>
      <c r="F889" s="93">
        <f t="shared" si="101"/>
        <v>0</v>
      </c>
    </row>
    <row r="890" spans="1:6" ht="63" customHeight="1" x14ac:dyDescent="0.3">
      <c r="A890" s="89" t="s">
        <v>1152</v>
      </c>
      <c r="B890" s="81" t="s">
        <v>390</v>
      </c>
      <c r="C890" s="88" t="s">
        <v>1153</v>
      </c>
      <c r="D890" s="83">
        <f t="shared" si="107"/>
        <v>100000</v>
      </c>
      <c r="E890" s="83">
        <f t="shared" si="107"/>
        <v>100000</v>
      </c>
      <c r="F890" s="84">
        <f t="shared" si="101"/>
        <v>0</v>
      </c>
    </row>
    <row r="891" spans="1:6" ht="23" x14ac:dyDescent="0.25">
      <c r="A891" s="90" t="s">
        <v>492</v>
      </c>
      <c r="B891" s="94" t="s">
        <v>390</v>
      </c>
      <c r="C891" s="91" t="s">
        <v>1154</v>
      </c>
      <c r="D891" s="92">
        <f t="shared" si="107"/>
        <v>100000</v>
      </c>
      <c r="E891" s="92">
        <f t="shared" si="107"/>
        <v>100000</v>
      </c>
      <c r="F891" s="93">
        <f t="shared" si="101"/>
        <v>0</v>
      </c>
    </row>
    <row r="892" spans="1:6" ht="34.5" x14ac:dyDescent="0.25">
      <c r="A892" s="90" t="s">
        <v>398</v>
      </c>
      <c r="B892" s="94" t="s">
        <v>390</v>
      </c>
      <c r="C892" s="91" t="s">
        <v>1155</v>
      </c>
      <c r="D892" s="92">
        <f t="shared" si="107"/>
        <v>100000</v>
      </c>
      <c r="E892" s="92">
        <f t="shared" si="107"/>
        <v>100000</v>
      </c>
      <c r="F892" s="93">
        <f t="shared" si="101"/>
        <v>0</v>
      </c>
    </row>
    <row r="893" spans="1:6" x14ac:dyDescent="0.25">
      <c r="A893" s="90" t="s">
        <v>400</v>
      </c>
      <c r="B893" s="94" t="s">
        <v>390</v>
      </c>
      <c r="C893" s="91" t="s">
        <v>1156</v>
      </c>
      <c r="D893" s="92">
        <v>100000</v>
      </c>
      <c r="E893" s="92">
        <v>100000</v>
      </c>
      <c r="F893" s="93">
        <f t="shared" si="101"/>
        <v>0</v>
      </c>
    </row>
    <row r="894" spans="1:6" ht="26" x14ac:dyDescent="0.3">
      <c r="A894" s="87" t="s">
        <v>1363</v>
      </c>
      <c r="B894" s="81" t="s">
        <v>390</v>
      </c>
      <c r="C894" s="88" t="s">
        <v>1157</v>
      </c>
      <c r="D894" s="83">
        <f t="shared" ref="D894:E897" si="108">D895</f>
        <v>449339</v>
      </c>
      <c r="E894" s="83">
        <f t="shared" si="108"/>
        <v>449338.85</v>
      </c>
      <c r="F894" s="84">
        <f t="shared" si="101"/>
        <v>0.15000000002328306</v>
      </c>
    </row>
    <row r="895" spans="1:6" ht="60.65" customHeight="1" x14ac:dyDescent="0.3">
      <c r="A895" s="89" t="s">
        <v>1158</v>
      </c>
      <c r="B895" s="81" t="s">
        <v>390</v>
      </c>
      <c r="C895" s="88" t="s">
        <v>1159</v>
      </c>
      <c r="D895" s="83">
        <f t="shared" si="108"/>
        <v>449339</v>
      </c>
      <c r="E895" s="83">
        <f t="shared" si="108"/>
        <v>449338.85</v>
      </c>
      <c r="F895" s="84">
        <f t="shared" si="101"/>
        <v>0.15000000002328306</v>
      </c>
    </row>
    <row r="896" spans="1:6" ht="23" x14ac:dyDescent="0.25">
      <c r="A896" s="90" t="s">
        <v>492</v>
      </c>
      <c r="B896" s="94" t="s">
        <v>390</v>
      </c>
      <c r="C896" s="91" t="s">
        <v>1160</v>
      </c>
      <c r="D896" s="92">
        <f t="shared" si="108"/>
        <v>449339</v>
      </c>
      <c r="E896" s="92">
        <f t="shared" si="108"/>
        <v>449338.85</v>
      </c>
      <c r="F896" s="93">
        <f t="shared" si="101"/>
        <v>0.15000000002328306</v>
      </c>
    </row>
    <row r="897" spans="1:6" ht="34.5" x14ac:dyDescent="0.25">
      <c r="A897" s="90" t="s">
        <v>398</v>
      </c>
      <c r="B897" s="94" t="s">
        <v>390</v>
      </c>
      <c r="C897" s="91" t="s">
        <v>1161</v>
      </c>
      <c r="D897" s="92">
        <f t="shared" si="108"/>
        <v>449339</v>
      </c>
      <c r="E897" s="92">
        <f t="shared" si="108"/>
        <v>449338.85</v>
      </c>
      <c r="F897" s="93">
        <f t="shared" si="101"/>
        <v>0.15000000002328306</v>
      </c>
    </row>
    <row r="898" spans="1:6" x14ac:dyDescent="0.25">
      <c r="A898" s="90" t="s">
        <v>400</v>
      </c>
      <c r="B898" s="94" t="s">
        <v>390</v>
      </c>
      <c r="C898" s="91" t="s">
        <v>1162</v>
      </c>
      <c r="D898" s="92">
        <v>449339</v>
      </c>
      <c r="E898" s="92">
        <v>449338.85</v>
      </c>
      <c r="F898" s="93">
        <f t="shared" si="101"/>
        <v>0.15000000002328306</v>
      </c>
    </row>
    <row r="899" spans="1:6" ht="39" x14ac:dyDescent="0.3">
      <c r="A899" s="87" t="s">
        <v>1163</v>
      </c>
      <c r="B899" s="108" t="s">
        <v>390</v>
      </c>
      <c r="C899" s="88" t="s">
        <v>1164</v>
      </c>
      <c r="D899" s="83">
        <f>D904+D917+D921+D946+D929+D933+D900</f>
        <v>210613965.73000002</v>
      </c>
      <c r="E899" s="83">
        <f>E904+E917+E921+E946+E929+E933+E900</f>
        <v>208038333.62</v>
      </c>
      <c r="F899" s="84">
        <f t="shared" si="101"/>
        <v>2575632.1100000143</v>
      </c>
    </row>
    <row r="900" spans="1:6" ht="103.5" hidden="1" x14ac:dyDescent="0.3">
      <c r="A900" s="89" t="s">
        <v>1165</v>
      </c>
      <c r="B900" s="81" t="s">
        <v>390</v>
      </c>
      <c r="C900" s="88" t="s">
        <v>1166</v>
      </c>
      <c r="D900" s="83">
        <f t="shared" ref="D900:E902" si="109">D901</f>
        <v>0</v>
      </c>
      <c r="E900" s="83">
        <f t="shared" si="109"/>
        <v>0</v>
      </c>
      <c r="F900" s="84">
        <f>D900-E900</f>
        <v>0</v>
      </c>
    </row>
    <row r="901" spans="1:6" ht="23" hidden="1" x14ac:dyDescent="0.3">
      <c r="A901" s="90" t="s">
        <v>492</v>
      </c>
      <c r="B901" s="94" t="s">
        <v>390</v>
      </c>
      <c r="C901" s="91" t="s">
        <v>1167</v>
      </c>
      <c r="D901" s="92">
        <f>D903</f>
        <v>0</v>
      </c>
      <c r="E901" s="92">
        <f>E903</f>
        <v>0</v>
      </c>
      <c r="F901" s="84">
        <f>D901-E901</f>
        <v>0</v>
      </c>
    </row>
    <row r="902" spans="1:6" ht="34.5" hidden="1" x14ac:dyDescent="0.25">
      <c r="A902" s="90" t="s">
        <v>398</v>
      </c>
      <c r="B902" s="94" t="s">
        <v>390</v>
      </c>
      <c r="C902" s="91" t="s">
        <v>1168</v>
      </c>
      <c r="D902" s="92">
        <f>D903</f>
        <v>0</v>
      </c>
      <c r="E902" s="92">
        <f t="shared" si="109"/>
        <v>0</v>
      </c>
      <c r="F902" s="93">
        <f>D902-E902</f>
        <v>0</v>
      </c>
    </row>
    <row r="903" spans="1:6" hidden="1" x14ac:dyDescent="0.25">
      <c r="A903" s="90" t="s">
        <v>400</v>
      </c>
      <c r="B903" s="94" t="s">
        <v>390</v>
      </c>
      <c r="C903" s="91" t="s">
        <v>1169</v>
      </c>
      <c r="D903" s="92"/>
      <c r="E903" s="92"/>
      <c r="F903" s="93">
        <f>D903-E903</f>
        <v>0</v>
      </c>
    </row>
    <row r="904" spans="1:6" ht="115" x14ac:dyDescent="0.3">
      <c r="A904" s="89" t="s">
        <v>1170</v>
      </c>
      <c r="B904" s="81" t="s">
        <v>390</v>
      </c>
      <c r="C904" s="88" t="s">
        <v>1171</v>
      </c>
      <c r="D904" s="83">
        <f t="shared" ref="D904:E906" si="110">D905</f>
        <v>7190230</v>
      </c>
      <c r="E904" s="83">
        <f t="shared" si="110"/>
        <v>7190230</v>
      </c>
      <c r="F904" s="84">
        <f t="shared" si="101"/>
        <v>0</v>
      </c>
    </row>
    <row r="905" spans="1:6" ht="13" x14ac:dyDescent="0.3">
      <c r="A905" s="90" t="s">
        <v>500</v>
      </c>
      <c r="B905" s="94" t="s">
        <v>390</v>
      </c>
      <c r="C905" s="91" t="s">
        <v>1172</v>
      </c>
      <c r="D905" s="92">
        <f t="shared" si="110"/>
        <v>7190230</v>
      </c>
      <c r="E905" s="92">
        <f t="shared" si="110"/>
        <v>7190230</v>
      </c>
      <c r="F905" s="84">
        <f t="shared" si="101"/>
        <v>0</v>
      </c>
    </row>
    <row r="906" spans="1:6" ht="46" x14ac:dyDescent="0.25">
      <c r="A906" s="121" t="s">
        <v>995</v>
      </c>
      <c r="B906" s="94" t="s">
        <v>390</v>
      </c>
      <c r="C906" s="91" t="s">
        <v>1173</v>
      </c>
      <c r="D906" s="92">
        <f t="shared" si="110"/>
        <v>7190230</v>
      </c>
      <c r="E906" s="92">
        <f t="shared" si="110"/>
        <v>7190230</v>
      </c>
      <c r="F906" s="93">
        <f t="shared" si="101"/>
        <v>0</v>
      </c>
    </row>
    <row r="907" spans="1:6" ht="49.5" customHeight="1" x14ac:dyDescent="0.25">
      <c r="A907" s="90" t="s">
        <v>997</v>
      </c>
      <c r="B907" s="94" t="s">
        <v>390</v>
      </c>
      <c r="C907" s="91" t="s">
        <v>1174</v>
      </c>
      <c r="D907" s="92">
        <f>D912+D916</f>
        <v>7190230</v>
      </c>
      <c r="E907" s="92">
        <f>E912+E916</f>
        <v>7190230</v>
      </c>
      <c r="F907" s="93">
        <f t="shared" si="101"/>
        <v>0</v>
      </c>
    </row>
    <row r="908" spans="1:6" x14ac:dyDescent="0.25">
      <c r="A908" s="89" t="s">
        <v>121</v>
      </c>
      <c r="B908" s="94"/>
      <c r="C908" s="91"/>
      <c r="D908" s="92"/>
      <c r="E908" s="92"/>
      <c r="F908" s="93"/>
    </row>
    <row r="909" spans="1:6" ht="13" x14ac:dyDescent="0.3">
      <c r="A909" s="115" t="s">
        <v>414</v>
      </c>
      <c r="B909" s="81" t="s">
        <v>390</v>
      </c>
      <c r="C909" s="88" t="s">
        <v>1171</v>
      </c>
      <c r="D909" s="83">
        <f t="shared" ref="D909:E911" si="111">D910</f>
        <v>71910</v>
      </c>
      <c r="E909" s="83">
        <f t="shared" si="111"/>
        <v>71910</v>
      </c>
      <c r="F909" s="84">
        <f t="shared" ref="F909:F916" si="112">D909-E909</f>
        <v>0</v>
      </c>
    </row>
    <row r="910" spans="1:6" ht="13" x14ac:dyDescent="0.3">
      <c r="A910" s="90" t="s">
        <v>500</v>
      </c>
      <c r="B910" s="94" t="s">
        <v>390</v>
      </c>
      <c r="C910" s="91" t="s">
        <v>1172</v>
      </c>
      <c r="D910" s="92">
        <f t="shared" si="111"/>
        <v>71910</v>
      </c>
      <c r="E910" s="92">
        <f t="shared" si="111"/>
        <v>71910</v>
      </c>
      <c r="F910" s="84">
        <f t="shared" si="112"/>
        <v>0</v>
      </c>
    </row>
    <row r="911" spans="1:6" ht="46" x14ac:dyDescent="0.25">
      <c r="A911" s="121" t="s">
        <v>995</v>
      </c>
      <c r="B911" s="94" t="s">
        <v>390</v>
      </c>
      <c r="C911" s="91" t="s">
        <v>1173</v>
      </c>
      <c r="D911" s="92">
        <f t="shared" si="111"/>
        <v>71910</v>
      </c>
      <c r="E911" s="92">
        <f t="shared" si="111"/>
        <v>71910</v>
      </c>
      <c r="F911" s="93">
        <f t="shared" si="112"/>
        <v>0</v>
      </c>
    </row>
    <row r="912" spans="1:6" ht="51" customHeight="1" x14ac:dyDescent="0.25">
      <c r="A912" s="90" t="s">
        <v>997</v>
      </c>
      <c r="B912" s="94" t="s">
        <v>390</v>
      </c>
      <c r="C912" s="91" t="s">
        <v>1174</v>
      </c>
      <c r="D912" s="92">
        <f>71910</f>
        <v>71910</v>
      </c>
      <c r="E912" s="92">
        <f>71910</f>
        <v>71910</v>
      </c>
      <c r="F912" s="93">
        <f t="shared" si="112"/>
        <v>0</v>
      </c>
    </row>
    <row r="913" spans="1:6" ht="27" x14ac:dyDescent="0.3">
      <c r="A913" s="97" t="s">
        <v>955</v>
      </c>
      <c r="B913" s="81" t="s">
        <v>390</v>
      </c>
      <c r="C913" s="88" t="s">
        <v>1171</v>
      </c>
      <c r="D913" s="83">
        <f t="shared" ref="D913:E915" si="113">D914</f>
        <v>7118320</v>
      </c>
      <c r="E913" s="83">
        <f t="shared" si="113"/>
        <v>7118320</v>
      </c>
      <c r="F913" s="84">
        <f t="shared" si="112"/>
        <v>0</v>
      </c>
    </row>
    <row r="914" spans="1:6" ht="13" x14ac:dyDescent="0.3">
      <c r="A914" s="90" t="s">
        <v>500</v>
      </c>
      <c r="B914" s="94" t="s">
        <v>390</v>
      </c>
      <c r="C914" s="91" t="s">
        <v>1172</v>
      </c>
      <c r="D914" s="92">
        <f t="shared" si="113"/>
        <v>7118320</v>
      </c>
      <c r="E914" s="92">
        <f t="shared" si="113"/>
        <v>7118320</v>
      </c>
      <c r="F914" s="84">
        <f t="shared" si="112"/>
        <v>0</v>
      </c>
    </row>
    <row r="915" spans="1:6" ht="46" x14ac:dyDescent="0.25">
      <c r="A915" s="121" t="s">
        <v>995</v>
      </c>
      <c r="B915" s="94" t="s">
        <v>390</v>
      </c>
      <c r="C915" s="91" t="s">
        <v>1173</v>
      </c>
      <c r="D915" s="92">
        <f t="shared" si="113"/>
        <v>7118320</v>
      </c>
      <c r="E915" s="92">
        <f t="shared" si="113"/>
        <v>7118320</v>
      </c>
      <c r="F915" s="93">
        <f t="shared" si="112"/>
        <v>0</v>
      </c>
    </row>
    <row r="916" spans="1:6" ht="47.5" customHeight="1" x14ac:dyDescent="0.25">
      <c r="A916" s="90" t="s">
        <v>997</v>
      </c>
      <c r="B916" s="94" t="s">
        <v>390</v>
      </c>
      <c r="C916" s="91" t="s">
        <v>1174</v>
      </c>
      <c r="D916" s="92">
        <f>7118320</f>
        <v>7118320</v>
      </c>
      <c r="E916" s="92">
        <f>7118320</f>
        <v>7118320</v>
      </c>
      <c r="F916" s="93">
        <f t="shared" si="112"/>
        <v>0</v>
      </c>
    </row>
    <row r="917" spans="1:6" ht="82" customHeight="1" x14ac:dyDescent="0.3">
      <c r="A917" s="89" t="s">
        <v>1175</v>
      </c>
      <c r="B917" s="81" t="s">
        <v>390</v>
      </c>
      <c r="C917" s="88" t="s">
        <v>1176</v>
      </c>
      <c r="D917" s="83">
        <f t="shared" ref="D917:E919" si="114">D918</f>
        <v>314580.75</v>
      </c>
      <c r="E917" s="83">
        <f t="shared" si="114"/>
        <v>314580</v>
      </c>
      <c r="F917" s="84">
        <f>D917-E917</f>
        <v>0.75</v>
      </c>
    </row>
    <row r="918" spans="1:6" ht="23" x14ac:dyDescent="0.3">
      <c r="A918" s="90" t="s">
        <v>492</v>
      </c>
      <c r="B918" s="94" t="s">
        <v>390</v>
      </c>
      <c r="C918" s="91" t="s">
        <v>1177</v>
      </c>
      <c r="D918" s="92">
        <f t="shared" si="114"/>
        <v>314580.75</v>
      </c>
      <c r="E918" s="92">
        <f t="shared" si="114"/>
        <v>314580</v>
      </c>
      <c r="F918" s="84">
        <f>D918-E918</f>
        <v>0.75</v>
      </c>
    </row>
    <row r="919" spans="1:6" ht="34.5" x14ac:dyDescent="0.25">
      <c r="A919" s="90" t="s">
        <v>398</v>
      </c>
      <c r="B919" s="94" t="s">
        <v>390</v>
      </c>
      <c r="C919" s="91" t="s">
        <v>1178</v>
      </c>
      <c r="D919" s="92">
        <f t="shared" si="114"/>
        <v>314580.75</v>
      </c>
      <c r="E919" s="92">
        <f t="shared" si="114"/>
        <v>314580</v>
      </c>
      <c r="F919" s="93">
        <f>D919-E919</f>
        <v>0.75</v>
      </c>
    </row>
    <row r="920" spans="1:6" x14ac:dyDescent="0.25">
      <c r="A920" s="90" t="s">
        <v>400</v>
      </c>
      <c r="B920" s="94" t="s">
        <v>390</v>
      </c>
      <c r="C920" s="91" t="s">
        <v>1179</v>
      </c>
      <c r="D920" s="92">
        <v>314580.75</v>
      </c>
      <c r="E920" s="92">
        <v>314580</v>
      </c>
      <c r="F920" s="93">
        <f>D920-E920</f>
        <v>0.75</v>
      </c>
    </row>
    <row r="921" spans="1:6" ht="92" x14ac:dyDescent="0.3">
      <c r="A921" s="89" t="s">
        <v>1180</v>
      </c>
      <c r="B921" s="81" t="s">
        <v>390</v>
      </c>
      <c r="C921" s="88" t="s">
        <v>1181</v>
      </c>
      <c r="D921" s="83">
        <f>D922+D925</f>
        <v>9812159.7300000004</v>
      </c>
      <c r="E921" s="83">
        <f>E922+E925</f>
        <v>7272159.7300000004</v>
      </c>
      <c r="F921" s="84">
        <f t="shared" ref="F921:F927" si="115">D921-E921</f>
        <v>2540000</v>
      </c>
    </row>
    <row r="922" spans="1:6" ht="23" x14ac:dyDescent="0.3">
      <c r="A922" s="90" t="s">
        <v>492</v>
      </c>
      <c r="B922" s="94" t="s">
        <v>390</v>
      </c>
      <c r="C922" s="91" t="s">
        <v>1182</v>
      </c>
      <c r="D922" s="92">
        <f>D923</f>
        <v>2540000</v>
      </c>
      <c r="E922" s="92">
        <f>E923</f>
        <v>0</v>
      </c>
      <c r="F922" s="84">
        <f t="shared" si="115"/>
        <v>2540000</v>
      </c>
    </row>
    <row r="923" spans="1:6" ht="34.5" x14ac:dyDescent="0.25">
      <c r="A923" s="121" t="s">
        <v>398</v>
      </c>
      <c r="B923" s="94" t="s">
        <v>390</v>
      </c>
      <c r="C923" s="91" t="s">
        <v>1183</v>
      </c>
      <c r="D923" s="92">
        <f>D924</f>
        <v>2540000</v>
      </c>
      <c r="E923" s="92">
        <f>E924</f>
        <v>0</v>
      </c>
      <c r="F923" s="93">
        <f t="shared" si="115"/>
        <v>2540000</v>
      </c>
    </row>
    <row r="924" spans="1:6" x14ac:dyDescent="0.25">
      <c r="A924" s="90" t="s">
        <v>400</v>
      </c>
      <c r="B924" s="94" t="s">
        <v>390</v>
      </c>
      <c r="C924" s="91" t="s">
        <v>1184</v>
      </c>
      <c r="D924" s="92">
        <v>2540000</v>
      </c>
      <c r="E924" s="92"/>
      <c r="F924" s="93">
        <f>D924-E924</f>
        <v>2540000</v>
      </c>
    </row>
    <row r="925" spans="1:6" ht="34.5" x14ac:dyDescent="0.25">
      <c r="A925" s="90" t="s">
        <v>404</v>
      </c>
      <c r="B925" s="94" t="s">
        <v>390</v>
      </c>
      <c r="C925" s="91" t="s">
        <v>1185</v>
      </c>
      <c r="D925" s="92">
        <f>D926</f>
        <v>7272159.7300000004</v>
      </c>
      <c r="E925" s="92">
        <f>E926</f>
        <v>7272159.7300000004</v>
      </c>
      <c r="F925" s="93">
        <f t="shared" si="115"/>
        <v>0</v>
      </c>
    </row>
    <row r="926" spans="1:6" x14ac:dyDescent="0.25">
      <c r="A926" s="90" t="s">
        <v>406</v>
      </c>
      <c r="B926" s="94" t="s">
        <v>390</v>
      </c>
      <c r="C926" s="91" t="s">
        <v>1186</v>
      </c>
      <c r="D926" s="92">
        <f>SUM(D927:D928)</f>
        <v>7272159.7300000004</v>
      </c>
      <c r="E926" s="92">
        <f>SUM(E927:E928)</f>
        <v>7272159.7300000004</v>
      </c>
      <c r="F926" s="93">
        <f t="shared" si="115"/>
        <v>0</v>
      </c>
    </row>
    <row r="927" spans="1:6" ht="57.5" x14ac:dyDescent="0.25">
      <c r="A927" s="90" t="s">
        <v>422</v>
      </c>
      <c r="B927" s="94" t="s">
        <v>390</v>
      </c>
      <c r="C927" s="91" t="s">
        <v>1187</v>
      </c>
      <c r="D927" s="92">
        <v>3325159.73</v>
      </c>
      <c r="E927" s="92">
        <v>3325159.73</v>
      </c>
      <c r="F927" s="93">
        <f t="shared" si="115"/>
        <v>0</v>
      </c>
    </row>
    <row r="928" spans="1:6" ht="23" x14ac:dyDescent="0.25">
      <c r="A928" s="96" t="s">
        <v>408</v>
      </c>
      <c r="B928" s="94" t="s">
        <v>390</v>
      </c>
      <c r="C928" s="91" t="s">
        <v>1188</v>
      </c>
      <c r="D928" s="92">
        <v>3947000</v>
      </c>
      <c r="E928" s="92">
        <v>3947000</v>
      </c>
      <c r="F928" s="93">
        <f>D928-E928</f>
        <v>0</v>
      </c>
    </row>
    <row r="929" spans="1:6" ht="106.5" customHeight="1" x14ac:dyDescent="0.3">
      <c r="A929" s="89" t="s">
        <v>1189</v>
      </c>
      <c r="B929" s="81" t="s">
        <v>390</v>
      </c>
      <c r="C929" s="88" t="s">
        <v>1190</v>
      </c>
      <c r="D929" s="83">
        <f t="shared" ref="D929:E931" si="116">D930</f>
        <v>6336740</v>
      </c>
      <c r="E929" s="83">
        <f t="shared" si="116"/>
        <v>6336740</v>
      </c>
      <c r="F929" s="84">
        <f t="shared" si="101"/>
        <v>0</v>
      </c>
    </row>
    <row r="930" spans="1:6" ht="34.5" x14ac:dyDescent="0.3">
      <c r="A930" s="90" t="s">
        <v>404</v>
      </c>
      <c r="B930" s="94" t="s">
        <v>390</v>
      </c>
      <c r="C930" s="91" t="s">
        <v>1191</v>
      </c>
      <c r="D930" s="92">
        <f t="shared" si="116"/>
        <v>6336740</v>
      </c>
      <c r="E930" s="92">
        <f t="shared" si="116"/>
        <v>6336740</v>
      </c>
      <c r="F930" s="84">
        <f t="shared" si="101"/>
        <v>0</v>
      </c>
    </row>
    <row r="931" spans="1:6" x14ac:dyDescent="0.25">
      <c r="A931" s="90" t="s">
        <v>406</v>
      </c>
      <c r="B931" s="94" t="s">
        <v>390</v>
      </c>
      <c r="C931" s="91" t="s">
        <v>1192</v>
      </c>
      <c r="D931" s="92">
        <f t="shared" si="116"/>
        <v>6336740</v>
      </c>
      <c r="E931" s="92">
        <f t="shared" si="116"/>
        <v>6336740</v>
      </c>
      <c r="F931" s="93">
        <f t="shared" si="101"/>
        <v>0</v>
      </c>
    </row>
    <row r="932" spans="1:6" ht="23" x14ac:dyDescent="0.25">
      <c r="A932" s="96" t="s">
        <v>408</v>
      </c>
      <c r="B932" s="94" t="s">
        <v>390</v>
      </c>
      <c r="C932" s="91" t="s">
        <v>1193</v>
      </c>
      <c r="D932" s="92">
        <v>6336740</v>
      </c>
      <c r="E932" s="92">
        <v>6336740</v>
      </c>
      <c r="F932" s="93">
        <f t="shared" si="101"/>
        <v>0</v>
      </c>
    </row>
    <row r="933" spans="1:6" ht="103.5" x14ac:dyDescent="0.3">
      <c r="A933" s="89" t="s">
        <v>1194</v>
      </c>
      <c r="B933" s="81" t="s">
        <v>390</v>
      </c>
      <c r="C933" s="88" t="s">
        <v>1195</v>
      </c>
      <c r="D933" s="83">
        <f t="shared" ref="D933:E944" si="117">D934</f>
        <v>153200364</v>
      </c>
      <c r="E933" s="83">
        <f t="shared" si="117"/>
        <v>153200364</v>
      </c>
      <c r="F933" s="84">
        <f t="shared" si="101"/>
        <v>0</v>
      </c>
    </row>
    <row r="934" spans="1:6" ht="34.5" x14ac:dyDescent="0.3">
      <c r="A934" s="90" t="s">
        <v>404</v>
      </c>
      <c r="B934" s="94" t="s">
        <v>390</v>
      </c>
      <c r="C934" s="91" t="s">
        <v>1196</v>
      </c>
      <c r="D934" s="92">
        <f t="shared" si="117"/>
        <v>153200364</v>
      </c>
      <c r="E934" s="92">
        <f t="shared" si="117"/>
        <v>153200364</v>
      </c>
      <c r="F934" s="84">
        <f t="shared" si="101"/>
        <v>0</v>
      </c>
    </row>
    <row r="935" spans="1:6" x14ac:dyDescent="0.25">
      <c r="A935" s="90" t="s">
        <v>406</v>
      </c>
      <c r="B935" s="94" t="s">
        <v>390</v>
      </c>
      <c r="C935" s="91" t="s">
        <v>1197</v>
      </c>
      <c r="D935" s="92">
        <f t="shared" si="117"/>
        <v>153200364</v>
      </c>
      <c r="E935" s="92">
        <f t="shared" si="117"/>
        <v>153200364</v>
      </c>
      <c r="F935" s="93">
        <f t="shared" si="101"/>
        <v>0</v>
      </c>
    </row>
    <row r="936" spans="1:6" ht="23" x14ac:dyDescent="0.25">
      <c r="A936" s="96" t="s">
        <v>408</v>
      </c>
      <c r="B936" s="94" t="s">
        <v>390</v>
      </c>
      <c r="C936" s="91" t="s">
        <v>1198</v>
      </c>
      <c r="D936" s="92">
        <f>D941+D945</f>
        <v>153200364</v>
      </c>
      <c r="E936" s="92">
        <f>E941+E945</f>
        <v>153200364</v>
      </c>
      <c r="F936" s="93">
        <f t="shared" si="101"/>
        <v>0</v>
      </c>
    </row>
    <row r="937" spans="1:6" ht="13" x14ac:dyDescent="0.25">
      <c r="A937" s="87" t="s">
        <v>121</v>
      </c>
      <c r="B937" s="94"/>
      <c r="C937" s="91"/>
      <c r="D937" s="92"/>
      <c r="E937" s="92"/>
      <c r="F937" s="93"/>
    </row>
    <row r="938" spans="1:6" ht="13.5" x14ac:dyDescent="0.3">
      <c r="A938" s="97" t="s">
        <v>414</v>
      </c>
      <c r="B938" s="81" t="s">
        <v>390</v>
      </c>
      <c r="C938" s="88" t="s">
        <v>1195</v>
      </c>
      <c r="D938" s="83">
        <f t="shared" si="117"/>
        <v>1685204</v>
      </c>
      <c r="E938" s="83">
        <f t="shared" si="117"/>
        <v>1685204</v>
      </c>
      <c r="F938" s="84">
        <f t="shared" ref="F938:F945" si="118">D938-E938</f>
        <v>0</v>
      </c>
    </row>
    <row r="939" spans="1:6" ht="34.5" x14ac:dyDescent="0.3">
      <c r="A939" s="90" t="s">
        <v>404</v>
      </c>
      <c r="B939" s="94" t="s">
        <v>390</v>
      </c>
      <c r="C939" s="91" t="s">
        <v>1196</v>
      </c>
      <c r="D939" s="92">
        <f t="shared" si="117"/>
        <v>1685204</v>
      </c>
      <c r="E939" s="92">
        <f t="shared" si="117"/>
        <v>1685204</v>
      </c>
      <c r="F939" s="84">
        <f t="shared" si="118"/>
        <v>0</v>
      </c>
    </row>
    <row r="940" spans="1:6" x14ac:dyDescent="0.25">
      <c r="A940" s="90" t="s">
        <v>406</v>
      </c>
      <c r="B940" s="94" t="s">
        <v>390</v>
      </c>
      <c r="C940" s="91" t="s">
        <v>1197</v>
      </c>
      <c r="D940" s="92">
        <f t="shared" si="117"/>
        <v>1685204</v>
      </c>
      <c r="E940" s="92">
        <f t="shared" si="117"/>
        <v>1685204</v>
      </c>
      <c r="F940" s="93">
        <f t="shared" si="118"/>
        <v>0</v>
      </c>
    </row>
    <row r="941" spans="1:6" ht="23" x14ac:dyDescent="0.25">
      <c r="A941" s="96" t="s">
        <v>408</v>
      </c>
      <c r="B941" s="94" t="s">
        <v>390</v>
      </c>
      <c r="C941" s="91" t="s">
        <v>1198</v>
      </c>
      <c r="D941" s="92">
        <v>1685204</v>
      </c>
      <c r="E941" s="92">
        <v>1685204</v>
      </c>
      <c r="F941" s="93">
        <f t="shared" si="118"/>
        <v>0</v>
      </c>
    </row>
    <row r="942" spans="1:6" ht="27" x14ac:dyDescent="0.3">
      <c r="A942" s="97" t="s">
        <v>955</v>
      </c>
      <c r="B942" s="81" t="s">
        <v>390</v>
      </c>
      <c r="C942" s="88" t="s">
        <v>1195</v>
      </c>
      <c r="D942" s="83">
        <f t="shared" si="117"/>
        <v>151515160</v>
      </c>
      <c r="E942" s="83">
        <f t="shared" si="117"/>
        <v>151515160</v>
      </c>
      <c r="F942" s="84">
        <f t="shared" si="118"/>
        <v>0</v>
      </c>
    </row>
    <row r="943" spans="1:6" ht="34.5" x14ac:dyDescent="0.3">
      <c r="A943" s="90" t="s">
        <v>404</v>
      </c>
      <c r="B943" s="94" t="s">
        <v>390</v>
      </c>
      <c r="C943" s="91" t="s">
        <v>1196</v>
      </c>
      <c r="D943" s="92">
        <f t="shared" si="117"/>
        <v>151515160</v>
      </c>
      <c r="E943" s="92">
        <f t="shared" si="117"/>
        <v>151515160</v>
      </c>
      <c r="F943" s="84">
        <f t="shared" si="118"/>
        <v>0</v>
      </c>
    </row>
    <row r="944" spans="1:6" x14ac:dyDescent="0.25">
      <c r="A944" s="90" t="s">
        <v>406</v>
      </c>
      <c r="B944" s="94" t="s">
        <v>390</v>
      </c>
      <c r="C944" s="91" t="s">
        <v>1197</v>
      </c>
      <c r="D944" s="92">
        <f t="shared" si="117"/>
        <v>151515160</v>
      </c>
      <c r="E944" s="92">
        <f t="shared" si="117"/>
        <v>151515160</v>
      </c>
      <c r="F944" s="93">
        <f t="shared" si="118"/>
        <v>0</v>
      </c>
    </row>
    <row r="945" spans="1:6" ht="23" x14ac:dyDescent="0.25">
      <c r="A945" s="96" t="s">
        <v>408</v>
      </c>
      <c r="B945" s="94" t="s">
        <v>390</v>
      </c>
      <c r="C945" s="91" t="s">
        <v>1198</v>
      </c>
      <c r="D945" s="92">
        <v>151515160</v>
      </c>
      <c r="E945" s="92">
        <v>151515160</v>
      </c>
      <c r="F945" s="93">
        <f t="shared" si="118"/>
        <v>0</v>
      </c>
    </row>
    <row r="946" spans="1:6" ht="84" customHeight="1" x14ac:dyDescent="0.3">
      <c r="A946" s="89" t="s">
        <v>1175</v>
      </c>
      <c r="B946" s="81" t="s">
        <v>390</v>
      </c>
      <c r="C946" s="88" t="s">
        <v>1199</v>
      </c>
      <c r="D946" s="83">
        <f t="shared" ref="D946:E957" si="119">D947</f>
        <v>33759891.25</v>
      </c>
      <c r="E946" s="83">
        <f t="shared" si="119"/>
        <v>33724259.890000001</v>
      </c>
      <c r="F946" s="84">
        <f t="shared" si="101"/>
        <v>35631.359999999404</v>
      </c>
    </row>
    <row r="947" spans="1:6" ht="23" x14ac:dyDescent="0.3">
      <c r="A947" s="90" t="s">
        <v>492</v>
      </c>
      <c r="B947" s="94" t="s">
        <v>390</v>
      </c>
      <c r="C947" s="91" t="s">
        <v>1200</v>
      </c>
      <c r="D947" s="92">
        <f t="shared" si="119"/>
        <v>33759891.25</v>
      </c>
      <c r="E947" s="92">
        <f t="shared" si="119"/>
        <v>33724259.890000001</v>
      </c>
      <c r="F947" s="84">
        <f t="shared" si="101"/>
        <v>35631.359999999404</v>
      </c>
    </row>
    <row r="948" spans="1:6" ht="34.5" x14ac:dyDescent="0.25">
      <c r="A948" s="90" t="s">
        <v>398</v>
      </c>
      <c r="B948" s="94" t="s">
        <v>390</v>
      </c>
      <c r="C948" s="91" t="s">
        <v>1201</v>
      </c>
      <c r="D948" s="92">
        <f t="shared" si="119"/>
        <v>33759891.25</v>
      </c>
      <c r="E948" s="92">
        <f t="shared" si="119"/>
        <v>33724259.890000001</v>
      </c>
      <c r="F948" s="93">
        <f t="shared" si="101"/>
        <v>35631.359999999404</v>
      </c>
    </row>
    <row r="949" spans="1:6" x14ac:dyDescent="0.25">
      <c r="A949" s="90" t="s">
        <v>400</v>
      </c>
      <c r="B949" s="94" t="s">
        <v>390</v>
      </c>
      <c r="C949" s="91" t="s">
        <v>1202</v>
      </c>
      <c r="D949" s="92">
        <f>D954+D958</f>
        <v>33759891.25</v>
      </c>
      <c r="E949" s="92">
        <f>E954+E958</f>
        <v>33724259.890000001</v>
      </c>
      <c r="F949" s="93">
        <f t="shared" si="101"/>
        <v>35631.359999999404</v>
      </c>
    </row>
    <row r="950" spans="1:6" ht="13" x14ac:dyDescent="0.25">
      <c r="A950" s="87" t="s">
        <v>121</v>
      </c>
      <c r="B950" s="94"/>
      <c r="C950" s="91"/>
      <c r="D950" s="92"/>
      <c r="E950" s="92"/>
      <c r="F950" s="93"/>
    </row>
    <row r="951" spans="1:6" ht="13.5" x14ac:dyDescent="0.3">
      <c r="A951" s="97" t="s">
        <v>414</v>
      </c>
      <c r="B951" s="81" t="s">
        <v>390</v>
      </c>
      <c r="C951" s="88" t="s">
        <v>1199</v>
      </c>
      <c r="D951" s="83">
        <f t="shared" si="119"/>
        <v>406591.25</v>
      </c>
      <c r="E951" s="83">
        <f t="shared" si="119"/>
        <v>370966.85</v>
      </c>
      <c r="F951" s="84">
        <f>D951-E951</f>
        <v>35624.400000000023</v>
      </c>
    </row>
    <row r="952" spans="1:6" ht="23" x14ac:dyDescent="0.3">
      <c r="A952" s="90" t="s">
        <v>492</v>
      </c>
      <c r="B952" s="94" t="s">
        <v>390</v>
      </c>
      <c r="C952" s="91" t="s">
        <v>1200</v>
      </c>
      <c r="D952" s="92">
        <f t="shared" si="119"/>
        <v>406591.25</v>
      </c>
      <c r="E952" s="92">
        <f t="shared" si="119"/>
        <v>370966.85</v>
      </c>
      <c r="F952" s="84">
        <f>D952-E952</f>
        <v>35624.400000000023</v>
      </c>
    </row>
    <row r="953" spans="1:6" ht="34.5" x14ac:dyDescent="0.25">
      <c r="A953" s="90" t="s">
        <v>398</v>
      </c>
      <c r="B953" s="94" t="s">
        <v>390</v>
      </c>
      <c r="C953" s="91" t="s">
        <v>1201</v>
      </c>
      <c r="D953" s="92">
        <f t="shared" si="119"/>
        <v>406591.25</v>
      </c>
      <c r="E953" s="92">
        <f t="shared" si="119"/>
        <v>370966.85</v>
      </c>
      <c r="F953" s="93">
        <f>D953-E953</f>
        <v>35624.400000000023</v>
      </c>
    </row>
    <row r="954" spans="1:6" x14ac:dyDescent="0.25">
      <c r="A954" s="90" t="s">
        <v>400</v>
      </c>
      <c r="B954" s="94" t="s">
        <v>390</v>
      </c>
      <c r="C954" s="91" t="s">
        <v>1202</v>
      </c>
      <c r="D954" s="92">
        <v>406591.25</v>
      </c>
      <c r="E954" s="92">
        <f>4735.16+141637.69+224594</f>
        <v>370966.85</v>
      </c>
      <c r="F954" s="93">
        <f>D954-E954</f>
        <v>35624.400000000023</v>
      </c>
    </row>
    <row r="955" spans="1:6" ht="27" x14ac:dyDescent="0.3">
      <c r="A955" s="97" t="s">
        <v>955</v>
      </c>
      <c r="B955" s="81" t="s">
        <v>390</v>
      </c>
      <c r="C955" s="88" t="s">
        <v>1199</v>
      </c>
      <c r="D955" s="83">
        <f t="shared" si="119"/>
        <v>33353300</v>
      </c>
      <c r="E955" s="83">
        <f t="shared" si="119"/>
        <v>33353293.039999999</v>
      </c>
      <c r="F955" s="84">
        <f t="shared" si="101"/>
        <v>6.9600000008940697</v>
      </c>
    </row>
    <row r="956" spans="1:6" s="44" customFormat="1" ht="23" x14ac:dyDescent="0.3">
      <c r="A956" s="90" t="s">
        <v>492</v>
      </c>
      <c r="B956" s="94" t="s">
        <v>390</v>
      </c>
      <c r="C956" s="91" t="s">
        <v>1200</v>
      </c>
      <c r="D956" s="92">
        <f t="shared" si="119"/>
        <v>33353300</v>
      </c>
      <c r="E956" s="92">
        <f t="shared" si="119"/>
        <v>33353293.039999999</v>
      </c>
      <c r="F956" s="84">
        <f t="shared" si="101"/>
        <v>6.9600000008940697</v>
      </c>
    </row>
    <row r="957" spans="1:6" s="44" customFormat="1" ht="34.5" x14ac:dyDescent="0.3">
      <c r="A957" s="90" t="s">
        <v>398</v>
      </c>
      <c r="B957" s="94" t="s">
        <v>390</v>
      </c>
      <c r="C957" s="91" t="s">
        <v>1201</v>
      </c>
      <c r="D957" s="92">
        <f t="shared" si="119"/>
        <v>33353300</v>
      </c>
      <c r="E957" s="92">
        <f t="shared" si="119"/>
        <v>33353293.039999999</v>
      </c>
      <c r="F957" s="93">
        <f t="shared" si="101"/>
        <v>6.9600000008940697</v>
      </c>
    </row>
    <row r="958" spans="1:6" s="44" customFormat="1" ht="13" x14ac:dyDescent="0.3">
      <c r="A958" s="90" t="s">
        <v>400</v>
      </c>
      <c r="B958" s="94" t="s">
        <v>390</v>
      </c>
      <c r="C958" s="91" t="s">
        <v>1202</v>
      </c>
      <c r="D958" s="92">
        <f>36556250-3202950</f>
        <v>33353300</v>
      </c>
      <c r="E958" s="92">
        <f>425734.17+12734516.1+20193042.77</f>
        <v>33353293.039999999</v>
      </c>
      <c r="F958" s="93">
        <f t="shared" si="101"/>
        <v>6.9600000008940697</v>
      </c>
    </row>
    <row r="959" spans="1:6" s="44" customFormat="1" ht="39" x14ac:dyDescent="0.3">
      <c r="A959" s="87" t="s">
        <v>1203</v>
      </c>
      <c r="B959" s="108" t="s">
        <v>390</v>
      </c>
      <c r="C959" s="88" t="s">
        <v>1204</v>
      </c>
      <c r="D959" s="83">
        <f>D960+D964+D968</f>
        <v>31299308.41</v>
      </c>
      <c r="E959" s="83">
        <f>E960+E964+E968</f>
        <v>27580623.259999998</v>
      </c>
      <c r="F959" s="84">
        <f t="shared" si="101"/>
        <v>3718685.1500000022</v>
      </c>
    </row>
    <row r="960" spans="1:6" s="44" customFormat="1" ht="57.5" x14ac:dyDescent="0.3">
      <c r="A960" s="89" t="s">
        <v>1205</v>
      </c>
      <c r="B960" s="81" t="s">
        <v>390</v>
      </c>
      <c r="C960" s="88" t="s">
        <v>1206</v>
      </c>
      <c r="D960" s="83">
        <f t="shared" ref="D960:E975" si="120">D961</f>
        <v>7130362</v>
      </c>
      <c r="E960" s="83">
        <f t="shared" si="120"/>
        <v>6250309.54</v>
      </c>
      <c r="F960" s="84">
        <f t="shared" si="101"/>
        <v>880052.46</v>
      </c>
    </row>
    <row r="961" spans="1:6" s="44" customFormat="1" ht="23" x14ac:dyDescent="0.3">
      <c r="A961" s="90" t="s">
        <v>492</v>
      </c>
      <c r="B961" s="94" t="s">
        <v>390</v>
      </c>
      <c r="C961" s="91" t="s">
        <v>1207</v>
      </c>
      <c r="D961" s="92">
        <f t="shared" si="120"/>
        <v>7130362</v>
      </c>
      <c r="E961" s="92">
        <f t="shared" si="120"/>
        <v>6250309.54</v>
      </c>
      <c r="F961" s="84">
        <f t="shared" si="101"/>
        <v>880052.46</v>
      </c>
    </row>
    <row r="962" spans="1:6" s="44" customFormat="1" ht="34.5" x14ac:dyDescent="0.3">
      <c r="A962" s="90" t="s">
        <v>398</v>
      </c>
      <c r="B962" s="94" t="s">
        <v>390</v>
      </c>
      <c r="C962" s="91" t="s">
        <v>1208</v>
      </c>
      <c r="D962" s="92">
        <f t="shared" si="120"/>
        <v>7130362</v>
      </c>
      <c r="E962" s="92">
        <f t="shared" si="120"/>
        <v>6250309.54</v>
      </c>
      <c r="F962" s="93">
        <f t="shared" si="101"/>
        <v>880052.46</v>
      </c>
    </row>
    <row r="963" spans="1:6" s="44" customFormat="1" ht="13" x14ac:dyDescent="0.3">
      <c r="A963" s="90" t="s">
        <v>400</v>
      </c>
      <c r="B963" s="94" t="s">
        <v>390</v>
      </c>
      <c r="C963" s="91" t="s">
        <v>1209</v>
      </c>
      <c r="D963" s="92">
        <v>7130362</v>
      </c>
      <c r="E963" s="92">
        <v>6250309.54</v>
      </c>
      <c r="F963" s="93">
        <f t="shared" si="101"/>
        <v>880052.46</v>
      </c>
    </row>
    <row r="964" spans="1:6" s="44" customFormat="1" ht="57.5" hidden="1" x14ac:dyDescent="0.3">
      <c r="A964" s="89" t="s">
        <v>1210</v>
      </c>
      <c r="B964" s="81" t="s">
        <v>390</v>
      </c>
      <c r="C964" s="88" t="s">
        <v>1211</v>
      </c>
      <c r="D964" s="83">
        <f t="shared" si="120"/>
        <v>0</v>
      </c>
      <c r="E964" s="83">
        <f t="shared" si="120"/>
        <v>0</v>
      </c>
      <c r="F964" s="84">
        <f t="shared" si="101"/>
        <v>0</v>
      </c>
    </row>
    <row r="965" spans="1:6" s="44" customFormat="1" ht="23" hidden="1" x14ac:dyDescent="0.3">
      <c r="A965" s="90" t="s">
        <v>492</v>
      </c>
      <c r="B965" s="94" t="s">
        <v>390</v>
      </c>
      <c r="C965" s="91" t="s">
        <v>1212</v>
      </c>
      <c r="D965" s="92">
        <f t="shared" si="120"/>
        <v>0</v>
      </c>
      <c r="E965" s="92">
        <f t="shared" si="120"/>
        <v>0</v>
      </c>
      <c r="F965" s="84">
        <f t="shared" si="101"/>
        <v>0</v>
      </c>
    </row>
    <row r="966" spans="1:6" s="44" customFormat="1" ht="34.5" hidden="1" x14ac:dyDescent="0.3">
      <c r="A966" s="90" t="s">
        <v>398</v>
      </c>
      <c r="B966" s="94" t="s">
        <v>390</v>
      </c>
      <c r="C966" s="91" t="s">
        <v>1213</v>
      </c>
      <c r="D966" s="92">
        <f t="shared" si="120"/>
        <v>0</v>
      </c>
      <c r="E966" s="92">
        <f t="shared" si="120"/>
        <v>0</v>
      </c>
      <c r="F966" s="93">
        <f t="shared" si="101"/>
        <v>0</v>
      </c>
    </row>
    <row r="967" spans="1:6" s="44" customFormat="1" ht="13" hidden="1" x14ac:dyDescent="0.3">
      <c r="A967" s="90" t="s">
        <v>400</v>
      </c>
      <c r="B967" s="94" t="s">
        <v>390</v>
      </c>
      <c r="C967" s="91" t="s">
        <v>1214</v>
      </c>
      <c r="D967" s="92"/>
      <c r="E967" s="92"/>
      <c r="F967" s="93">
        <f t="shared" si="101"/>
        <v>0</v>
      </c>
    </row>
    <row r="968" spans="1:6" s="44" customFormat="1" ht="80.5" x14ac:dyDescent="0.3">
      <c r="A968" s="89" t="s">
        <v>1215</v>
      </c>
      <c r="B968" s="81" t="s">
        <v>390</v>
      </c>
      <c r="C968" s="88" t="s">
        <v>1216</v>
      </c>
      <c r="D968" s="83">
        <f>D969</f>
        <v>24168946.41</v>
      </c>
      <c r="E968" s="83">
        <f>E969</f>
        <v>21330313.719999999</v>
      </c>
      <c r="F968" s="84">
        <f t="shared" si="101"/>
        <v>2838632.6900000013</v>
      </c>
    </row>
    <row r="969" spans="1:6" s="44" customFormat="1" ht="34.5" x14ac:dyDescent="0.3">
      <c r="A969" s="90" t="s">
        <v>404</v>
      </c>
      <c r="B969" s="94" t="s">
        <v>390</v>
      </c>
      <c r="C969" s="91" t="s">
        <v>1217</v>
      </c>
      <c r="D969" s="92">
        <f>D970</f>
        <v>24168946.41</v>
      </c>
      <c r="E969" s="92">
        <f>E970</f>
        <v>21330313.719999999</v>
      </c>
      <c r="F969" s="93">
        <f t="shared" si="101"/>
        <v>2838632.6900000013</v>
      </c>
    </row>
    <row r="970" spans="1:6" s="44" customFormat="1" ht="13" x14ac:dyDescent="0.3">
      <c r="A970" s="90" t="s">
        <v>406</v>
      </c>
      <c r="B970" s="94" t="s">
        <v>390</v>
      </c>
      <c r="C970" s="91" t="s">
        <v>1218</v>
      </c>
      <c r="D970" s="92">
        <f>SUM(D971:D972)</f>
        <v>24168946.41</v>
      </c>
      <c r="E970" s="92">
        <f>SUM(E971:E972)</f>
        <v>21330313.719999999</v>
      </c>
      <c r="F970" s="93">
        <f t="shared" si="101"/>
        <v>2838632.6900000013</v>
      </c>
    </row>
    <row r="971" spans="1:6" s="44" customFormat="1" ht="57.5" x14ac:dyDescent="0.3">
      <c r="A971" s="90" t="s">
        <v>422</v>
      </c>
      <c r="B971" s="94" t="s">
        <v>390</v>
      </c>
      <c r="C971" s="91" t="s">
        <v>1219</v>
      </c>
      <c r="D971" s="92">
        <v>21111280.41</v>
      </c>
      <c r="E971" s="92">
        <v>20752647.719999999</v>
      </c>
      <c r="F971" s="93">
        <f t="shared" si="101"/>
        <v>358632.69000000134</v>
      </c>
    </row>
    <row r="972" spans="1:6" s="44" customFormat="1" ht="23" x14ac:dyDescent="0.3">
      <c r="A972" s="96" t="s">
        <v>408</v>
      </c>
      <c r="B972" s="94" t="s">
        <v>390</v>
      </c>
      <c r="C972" s="91" t="s">
        <v>1220</v>
      </c>
      <c r="D972" s="92">
        <v>3057666</v>
      </c>
      <c r="E972" s="92">
        <v>577666</v>
      </c>
      <c r="F972" s="93">
        <f>D972-E972</f>
        <v>2480000</v>
      </c>
    </row>
    <row r="973" spans="1:6" ht="26" x14ac:dyDescent="0.3">
      <c r="A973" s="87" t="s">
        <v>669</v>
      </c>
      <c r="B973" s="81" t="s">
        <v>390</v>
      </c>
      <c r="C973" s="88" t="s">
        <v>1221</v>
      </c>
      <c r="D973" s="83">
        <f t="shared" si="120"/>
        <v>99389.34</v>
      </c>
      <c r="E973" s="83">
        <f t="shared" si="120"/>
        <v>99389.34</v>
      </c>
      <c r="F973" s="84">
        <f t="shared" si="101"/>
        <v>0</v>
      </c>
    </row>
    <row r="974" spans="1:6" ht="23" x14ac:dyDescent="0.3">
      <c r="A974" s="90" t="s">
        <v>492</v>
      </c>
      <c r="B974" s="94" t="s">
        <v>390</v>
      </c>
      <c r="C974" s="91" t="s">
        <v>1222</v>
      </c>
      <c r="D974" s="92">
        <f t="shared" si="120"/>
        <v>99389.34</v>
      </c>
      <c r="E974" s="92">
        <f t="shared" si="120"/>
        <v>99389.34</v>
      </c>
      <c r="F974" s="84">
        <f t="shared" si="101"/>
        <v>0</v>
      </c>
    </row>
    <row r="975" spans="1:6" ht="34.5" x14ac:dyDescent="0.25">
      <c r="A975" s="90" t="s">
        <v>398</v>
      </c>
      <c r="B975" s="94" t="s">
        <v>390</v>
      </c>
      <c r="C975" s="91" t="s">
        <v>1223</v>
      </c>
      <c r="D975" s="92">
        <f t="shared" si="120"/>
        <v>99389.34</v>
      </c>
      <c r="E975" s="92">
        <f t="shared" si="120"/>
        <v>99389.34</v>
      </c>
      <c r="F975" s="93">
        <f t="shared" si="101"/>
        <v>0</v>
      </c>
    </row>
    <row r="976" spans="1:6" x14ac:dyDescent="0.25">
      <c r="A976" s="90" t="s">
        <v>400</v>
      </c>
      <c r="B976" s="94" t="s">
        <v>390</v>
      </c>
      <c r="C976" s="91" t="s">
        <v>1224</v>
      </c>
      <c r="D976" s="92">
        <v>99389.34</v>
      </c>
      <c r="E976" s="92">
        <v>99389.34</v>
      </c>
      <c r="F976" s="93">
        <f t="shared" si="101"/>
        <v>0</v>
      </c>
    </row>
    <row r="977" spans="1:6" ht="13" x14ac:dyDescent="0.3">
      <c r="A977" s="87" t="s">
        <v>1225</v>
      </c>
      <c r="B977" s="81" t="s">
        <v>390</v>
      </c>
      <c r="C977" s="107" t="s">
        <v>1226</v>
      </c>
      <c r="D977" s="83">
        <f>D997+D978</f>
        <v>899385.45</v>
      </c>
      <c r="E977" s="83">
        <f>E997+E978</f>
        <v>863449</v>
      </c>
      <c r="F977" s="84">
        <f t="shared" si="101"/>
        <v>35936.449999999953</v>
      </c>
    </row>
    <row r="978" spans="1:6" ht="39" x14ac:dyDescent="0.3">
      <c r="A978" s="87" t="s">
        <v>1227</v>
      </c>
      <c r="B978" s="81" t="s">
        <v>390</v>
      </c>
      <c r="C978" s="107" t="s">
        <v>1228</v>
      </c>
      <c r="D978" s="83">
        <f>D979</f>
        <v>116680</v>
      </c>
      <c r="E978" s="83">
        <f>E979</f>
        <v>116680</v>
      </c>
      <c r="F978" s="84">
        <f t="shared" si="101"/>
        <v>0</v>
      </c>
    </row>
    <row r="979" spans="1:6" ht="39" x14ac:dyDescent="0.3">
      <c r="A979" s="114" t="s">
        <v>619</v>
      </c>
      <c r="B979" s="81" t="s">
        <v>390</v>
      </c>
      <c r="C979" s="107" t="s">
        <v>1229</v>
      </c>
      <c r="D979" s="83">
        <f>D980+D984</f>
        <v>116680</v>
      </c>
      <c r="E979" s="83">
        <f>E980+E984</f>
        <v>116680</v>
      </c>
      <c r="F979" s="84">
        <f t="shared" si="101"/>
        <v>0</v>
      </c>
    </row>
    <row r="980" spans="1:6" ht="57.5" x14ac:dyDescent="0.3">
      <c r="A980" s="89" t="s">
        <v>1230</v>
      </c>
      <c r="B980" s="81" t="s">
        <v>390</v>
      </c>
      <c r="C980" s="107" t="s">
        <v>1231</v>
      </c>
      <c r="D980" s="83">
        <f t="shared" ref="D980:E982" si="121">D981</f>
        <v>21030</v>
      </c>
      <c r="E980" s="83">
        <f t="shared" si="121"/>
        <v>21030</v>
      </c>
      <c r="F980" s="84">
        <f t="shared" si="101"/>
        <v>0</v>
      </c>
    </row>
    <row r="981" spans="1:6" s="44" customFormat="1" ht="23" x14ac:dyDescent="0.3">
      <c r="A981" s="90" t="s">
        <v>492</v>
      </c>
      <c r="B981" s="94" t="s">
        <v>390</v>
      </c>
      <c r="C981" s="91" t="s">
        <v>1232</v>
      </c>
      <c r="D981" s="92">
        <f t="shared" si="121"/>
        <v>21030</v>
      </c>
      <c r="E981" s="92">
        <f t="shared" si="121"/>
        <v>21030</v>
      </c>
      <c r="F981" s="84">
        <f t="shared" si="101"/>
        <v>0</v>
      </c>
    </row>
    <row r="982" spans="1:6" s="44" customFormat="1" ht="34.5" x14ac:dyDescent="0.3">
      <c r="A982" s="90" t="s">
        <v>398</v>
      </c>
      <c r="B982" s="94" t="s">
        <v>390</v>
      </c>
      <c r="C982" s="91" t="s">
        <v>1233</v>
      </c>
      <c r="D982" s="92">
        <f t="shared" si="121"/>
        <v>21030</v>
      </c>
      <c r="E982" s="92">
        <f t="shared" si="121"/>
        <v>21030</v>
      </c>
      <c r="F982" s="93">
        <f t="shared" si="101"/>
        <v>0</v>
      </c>
    </row>
    <row r="983" spans="1:6" s="44" customFormat="1" ht="13" x14ac:dyDescent="0.3">
      <c r="A983" s="90" t="s">
        <v>400</v>
      </c>
      <c r="B983" s="94" t="s">
        <v>390</v>
      </c>
      <c r="C983" s="91" t="s">
        <v>1234</v>
      </c>
      <c r="D983" s="92">
        <v>21030</v>
      </c>
      <c r="E983" s="92">
        <v>21030</v>
      </c>
      <c r="F983" s="93">
        <f t="shared" si="101"/>
        <v>0</v>
      </c>
    </row>
    <row r="984" spans="1:6" s="44" customFormat="1" ht="80.5" x14ac:dyDescent="0.3">
      <c r="A984" s="89" t="s">
        <v>1235</v>
      </c>
      <c r="B984" s="81" t="s">
        <v>390</v>
      </c>
      <c r="C984" s="107" t="s">
        <v>1236</v>
      </c>
      <c r="D984" s="83">
        <f t="shared" ref="D984:E986" si="122">D985</f>
        <v>95650</v>
      </c>
      <c r="E984" s="83">
        <f t="shared" si="122"/>
        <v>95650</v>
      </c>
      <c r="F984" s="84">
        <f t="shared" si="101"/>
        <v>0</v>
      </c>
    </row>
    <row r="985" spans="1:6" s="44" customFormat="1" ht="34.5" x14ac:dyDescent="0.3">
      <c r="A985" s="90" t="s">
        <v>926</v>
      </c>
      <c r="B985" s="94" t="s">
        <v>390</v>
      </c>
      <c r="C985" s="91" t="s">
        <v>1237</v>
      </c>
      <c r="D985" s="92">
        <f t="shared" si="122"/>
        <v>95650</v>
      </c>
      <c r="E985" s="92">
        <f t="shared" si="122"/>
        <v>95650</v>
      </c>
      <c r="F985" s="84">
        <f t="shared" si="101"/>
        <v>0</v>
      </c>
    </row>
    <row r="986" spans="1:6" s="44" customFormat="1" ht="34.5" x14ac:dyDescent="0.3">
      <c r="A986" s="121" t="s">
        <v>398</v>
      </c>
      <c r="B986" s="94" t="s">
        <v>390</v>
      </c>
      <c r="C986" s="91" t="s">
        <v>1238</v>
      </c>
      <c r="D986" s="92">
        <f t="shared" si="122"/>
        <v>95650</v>
      </c>
      <c r="E986" s="92">
        <f t="shared" si="122"/>
        <v>95650</v>
      </c>
      <c r="F986" s="93">
        <f t="shared" si="101"/>
        <v>0</v>
      </c>
    </row>
    <row r="987" spans="1:6" s="44" customFormat="1" ht="13" x14ac:dyDescent="0.3">
      <c r="A987" s="90" t="s">
        <v>400</v>
      </c>
      <c r="B987" s="94" t="s">
        <v>390</v>
      </c>
      <c r="C987" s="91" t="s">
        <v>1239</v>
      </c>
      <c r="D987" s="92">
        <f>D992+D996</f>
        <v>95650</v>
      </c>
      <c r="E987" s="92">
        <f>E992+E996</f>
        <v>95650</v>
      </c>
      <c r="F987" s="93">
        <f t="shared" si="101"/>
        <v>0</v>
      </c>
    </row>
    <row r="988" spans="1:6" s="44" customFormat="1" ht="13" x14ac:dyDescent="0.3">
      <c r="A988" s="87" t="s">
        <v>121</v>
      </c>
      <c r="B988" s="94"/>
      <c r="C988" s="91"/>
      <c r="D988" s="92"/>
      <c r="E988" s="92"/>
      <c r="F988" s="93"/>
    </row>
    <row r="989" spans="1:6" s="44" customFormat="1" ht="13.5" x14ac:dyDescent="0.3">
      <c r="A989" s="97" t="s">
        <v>414</v>
      </c>
      <c r="B989" s="81" t="s">
        <v>390</v>
      </c>
      <c r="C989" s="107" t="s">
        <v>1236</v>
      </c>
      <c r="D989" s="83">
        <f t="shared" ref="D989:E995" si="123">D990</f>
        <v>29650</v>
      </c>
      <c r="E989" s="83">
        <f t="shared" si="123"/>
        <v>29650</v>
      </c>
      <c r="F989" s="84">
        <f t="shared" ref="F989:F996" si="124">D989-E989</f>
        <v>0</v>
      </c>
    </row>
    <row r="990" spans="1:6" s="44" customFormat="1" ht="34.5" x14ac:dyDescent="0.3">
      <c r="A990" s="90" t="s">
        <v>926</v>
      </c>
      <c r="B990" s="94" t="s">
        <v>390</v>
      </c>
      <c r="C990" s="91" t="s">
        <v>1237</v>
      </c>
      <c r="D990" s="92">
        <f t="shared" si="123"/>
        <v>29650</v>
      </c>
      <c r="E990" s="92">
        <f t="shared" si="123"/>
        <v>29650</v>
      </c>
      <c r="F990" s="84">
        <f t="shared" si="124"/>
        <v>0</v>
      </c>
    </row>
    <row r="991" spans="1:6" s="44" customFormat="1" ht="34.5" x14ac:dyDescent="0.3">
      <c r="A991" s="121" t="s">
        <v>398</v>
      </c>
      <c r="B991" s="94" t="s">
        <v>390</v>
      </c>
      <c r="C991" s="91" t="s">
        <v>1238</v>
      </c>
      <c r="D991" s="92">
        <f t="shared" si="123"/>
        <v>29650</v>
      </c>
      <c r="E991" s="92">
        <f t="shared" si="123"/>
        <v>29650</v>
      </c>
      <c r="F991" s="93">
        <f t="shared" si="124"/>
        <v>0</v>
      </c>
    </row>
    <row r="992" spans="1:6" s="44" customFormat="1" ht="13" x14ac:dyDescent="0.3">
      <c r="A992" s="90" t="s">
        <v>400</v>
      </c>
      <c r="B992" s="94" t="s">
        <v>390</v>
      </c>
      <c r="C992" s="91" t="s">
        <v>1239</v>
      </c>
      <c r="D992" s="92">
        <v>29650</v>
      </c>
      <c r="E992" s="92">
        <v>29650</v>
      </c>
      <c r="F992" s="93">
        <f t="shared" si="124"/>
        <v>0</v>
      </c>
    </row>
    <row r="993" spans="1:6" s="44" customFormat="1" ht="13.5" x14ac:dyDescent="0.3">
      <c r="A993" s="97" t="s">
        <v>415</v>
      </c>
      <c r="B993" s="81" t="s">
        <v>390</v>
      </c>
      <c r="C993" s="107" t="s">
        <v>1236</v>
      </c>
      <c r="D993" s="83">
        <f t="shared" si="123"/>
        <v>66000</v>
      </c>
      <c r="E993" s="83">
        <f t="shared" si="123"/>
        <v>66000</v>
      </c>
      <c r="F993" s="84">
        <f t="shared" si="124"/>
        <v>0</v>
      </c>
    </row>
    <row r="994" spans="1:6" s="44" customFormat="1" ht="34.5" x14ac:dyDescent="0.3">
      <c r="A994" s="90" t="s">
        <v>926</v>
      </c>
      <c r="B994" s="94" t="s">
        <v>390</v>
      </c>
      <c r="C994" s="91" t="s">
        <v>1237</v>
      </c>
      <c r="D994" s="92">
        <f t="shared" si="123"/>
        <v>66000</v>
      </c>
      <c r="E994" s="92">
        <f t="shared" si="123"/>
        <v>66000</v>
      </c>
      <c r="F994" s="84">
        <f t="shared" si="124"/>
        <v>0</v>
      </c>
    </row>
    <row r="995" spans="1:6" s="44" customFormat="1" ht="34.5" x14ac:dyDescent="0.3">
      <c r="A995" s="121" t="s">
        <v>398</v>
      </c>
      <c r="B995" s="94" t="s">
        <v>390</v>
      </c>
      <c r="C995" s="91" t="s">
        <v>1238</v>
      </c>
      <c r="D995" s="92">
        <f t="shared" si="123"/>
        <v>66000</v>
      </c>
      <c r="E995" s="92">
        <f t="shared" si="123"/>
        <v>66000</v>
      </c>
      <c r="F995" s="93">
        <f t="shared" si="124"/>
        <v>0</v>
      </c>
    </row>
    <row r="996" spans="1:6" s="44" customFormat="1" ht="13" x14ac:dyDescent="0.3">
      <c r="A996" s="90" t="s">
        <v>400</v>
      </c>
      <c r="B996" s="94" t="s">
        <v>390</v>
      </c>
      <c r="C996" s="91" t="s">
        <v>1239</v>
      </c>
      <c r="D996" s="92">
        <v>66000</v>
      </c>
      <c r="E996" s="92">
        <f>15000+51000</f>
        <v>66000</v>
      </c>
      <c r="F996" s="93">
        <f t="shared" si="124"/>
        <v>0</v>
      </c>
    </row>
    <row r="997" spans="1:6" ht="13" x14ac:dyDescent="0.3">
      <c r="A997" s="87" t="s">
        <v>1240</v>
      </c>
      <c r="B997" s="81" t="s">
        <v>390</v>
      </c>
      <c r="C997" s="107" t="s">
        <v>1241</v>
      </c>
      <c r="D997" s="83">
        <f>D998+D1005</f>
        <v>782705.45</v>
      </c>
      <c r="E997" s="83">
        <f>E998+E1005</f>
        <v>746769</v>
      </c>
      <c r="F997" s="84">
        <f t="shared" si="101"/>
        <v>35936.449999999953</v>
      </c>
    </row>
    <row r="998" spans="1:6" ht="13" x14ac:dyDescent="0.3">
      <c r="A998" s="87" t="s">
        <v>1242</v>
      </c>
      <c r="B998" s="81" t="s">
        <v>390</v>
      </c>
      <c r="C998" s="88" t="s">
        <v>1243</v>
      </c>
      <c r="D998" s="83">
        <f t="shared" ref="D998:E1001" si="125">D999</f>
        <v>488120.73</v>
      </c>
      <c r="E998" s="83">
        <f t="shared" si="125"/>
        <v>452184.28</v>
      </c>
      <c r="F998" s="84">
        <f t="shared" si="101"/>
        <v>35936.449999999953</v>
      </c>
    </row>
    <row r="999" spans="1:6" ht="34.5" x14ac:dyDescent="0.3">
      <c r="A999" s="89" t="s">
        <v>1244</v>
      </c>
      <c r="B999" s="81" t="s">
        <v>390</v>
      </c>
      <c r="C999" s="88" t="s">
        <v>1245</v>
      </c>
      <c r="D999" s="83">
        <f>D1000+D1003</f>
        <v>488120.73</v>
      </c>
      <c r="E999" s="83">
        <f>E1000+E1003</f>
        <v>452184.28</v>
      </c>
      <c r="F999" s="84">
        <f t="shared" si="101"/>
        <v>35936.449999999953</v>
      </c>
    </row>
    <row r="1000" spans="1:6" ht="23" x14ac:dyDescent="0.25">
      <c r="A1000" s="90" t="s">
        <v>492</v>
      </c>
      <c r="B1000" s="94" t="s">
        <v>390</v>
      </c>
      <c r="C1000" s="91" t="s">
        <v>1246</v>
      </c>
      <c r="D1000" s="92">
        <f t="shared" si="125"/>
        <v>458120.73</v>
      </c>
      <c r="E1000" s="92">
        <f t="shared" si="125"/>
        <v>428684.28</v>
      </c>
      <c r="F1000" s="93">
        <f t="shared" si="101"/>
        <v>29436.449999999953</v>
      </c>
    </row>
    <row r="1001" spans="1:6" ht="34.5" x14ac:dyDescent="0.25">
      <c r="A1001" s="90" t="s">
        <v>398</v>
      </c>
      <c r="B1001" s="94" t="s">
        <v>390</v>
      </c>
      <c r="C1001" s="91" t="s">
        <v>1247</v>
      </c>
      <c r="D1001" s="92">
        <f t="shared" si="125"/>
        <v>458120.73</v>
      </c>
      <c r="E1001" s="92">
        <f t="shared" si="125"/>
        <v>428684.28</v>
      </c>
      <c r="F1001" s="93">
        <f t="shared" si="101"/>
        <v>29436.449999999953</v>
      </c>
    </row>
    <row r="1002" spans="1:6" s="44" customFormat="1" ht="13" x14ac:dyDescent="0.3">
      <c r="A1002" s="90" t="s">
        <v>400</v>
      </c>
      <c r="B1002" s="94" t="s">
        <v>390</v>
      </c>
      <c r="C1002" s="91" t="s">
        <v>1248</v>
      </c>
      <c r="D1002" s="92">
        <v>458120.73</v>
      </c>
      <c r="E1002" s="92">
        <v>428684.28</v>
      </c>
      <c r="F1002" s="93">
        <f t="shared" si="101"/>
        <v>29436.449999999953</v>
      </c>
    </row>
    <row r="1003" spans="1:6" s="44" customFormat="1" ht="23" x14ac:dyDescent="0.3">
      <c r="A1003" s="90" t="s">
        <v>791</v>
      </c>
      <c r="B1003" s="94" t="s">
        <v>390</v>
      </c>
      <c r="C1003" s="91" t="s">
        <v>1249</v>
      </c>
      <c r="D1003" s="92">
        <f>D1004</f>
        <v>30000</v>
      </c>
      <c r="E1003" s="92">
        <f>E1004</f>
        <v>23500</v>
      </c>
      <c r="F1003" s="93">
        <f t="shared" si="101"/>
        <v>6500</v>
      </c>
    </row>
    <row r="1004" spans="1:6" s="44" customFormat="1" ht="18.649999999999999" customHeight="1" x14ac:dyDescent="0.3">
      <c r="A1004" s="90" t="s">
        <v>719</v>
      </c>
      <c r="B1004" s="94" t="s">
        <v>390</v>
      </c>
      <c r="C1004" s="91" t="s">
        <v>1250</v>
      </c>
      <c r="D1004" s="92">
        <v>30000</v>
      </c>
      <c r="E1004" s="92">
        <v>23500</v>
      </c>
      <c r="F1004" s="93">
        <f t="shared" si="101"/>
        <v>6500</v>
      </c>
    </row>
    <row r="1005" spans="1:6" s="44" customFormat="1" ht="39" customHeight="1" x14ac:dyDescent="0.3">
      <c r="A1005" s="87" t="s">
        <v>1251</v>
      </c>
      <c r="B1005" s="81" t="s">
        <v>390</v>
      </c>
      <c r="C1005" s="88" t="s">
        <v>1252</v>
      </c>
      <c r="D1005" s="83">
        <f t="shared" ref="D1005:E1007" si="126">D1006</f>
        <v>294584.71999999997</v>
      </c>
      <c r="E1005" s="83">
        <f t="shared" si="126"/>
        <v>294584.71999999997</v>
      </c>
      <c r="F1005" s="84">
        <f t="shared" si="101"/>
        <v>0</v>
      </c>
    </row>
    <row r="1006" spans="1:6" s="44" customFormat="1" ht="59.15" customHeight="1" x14ac:dyDescent="0.3">
      <c r="A1006" s="89" t="s">
        <v>1253</v>
      </c>
      <c r="B1006" s="81" t="s">
        <v>390</v>
      </c>
      <c r="C1006" s="88" t="s">
        <v>1254</v>
      </c>
      <c r="D1006" s="83">
        <f t="shared" si="126"/>
        <v>294584.71999999997</v>
      </c>
      <c r="E1006" s="83">
        <f t="shared" si="126"/>
        <v>294584.71999999997</v>
      </c>
      <c r="F1006" s="84">
        <f t="shared" si="101"/>
        <v>0</v>
      </c>
    </row>
    <row r="1007" spans="1:6" s="44" customFormat="1" ht="23" x14ac:dyDescent="0.3">
      <c r="A1007" s="90" t="s">
        <v>791</v>
      </c>
      <c r="B1007" s="94" t="s">
        <v>390</v>
      </c>
      <c r="C1007" s="91" t="s">
        <v>1255</v>
      </c>
      <c r="D1007" s="92">
        <f t="shared" si="126"/>
        <v>294584.71999999997</v>
      </c>
      <c r="E1007" s="92">
        <f t="shared" si="126"/>
        <v>294584.71999999997</v>
      </c>
      <c r="F1007" s="93">
        <f t="shared" ref="F1007:F1025" si="127">D1007-E1007</f>
        <v>0</v>
      </c>
    </row>
    <row r="1008" spans="1:6" s="44" customFormat="1" ht="17.5" customHeight="1" x14ac:dyDescent="0.3">
      <c r="A1008" s="90" t="s">
        <v>719</v>
      </c>
      <c r="B1008" s="94" t="s">
        <v>390</v>
      </c>
      <c r="C1008" s="91" t="s">
        <v>1256</v>
      </c>
      <c r="D1008" s="92">
        <v>294584.71999999997</v>
      </c>
      <c r="E1008" s="92">
        <v>294584.71999999997</v>
      </c>
      <c r="F1008" s="93">
        <f t="shared" si="127"/>
        <v>0</v>
      </c>
    </row>
    <row r="1009" spans="1:6" s="44" customFormat="1" ht="13" x14ac:dyDescent="0.3">
      <c r="A1009" s="123" t="s">
        <v>1257</v>
      </c>
      <c r="B1009" s="81" t="s">
        <v>390</v>
      </c>
      <c r="C1009" s="107" t="s">
        <v>1258</v>
      </c>
      <c r="D1009" s="83">
        <f>D1016+D1010</f>
        <v>11735014</v>
      </c>
      <c r="E1009" s="83">
        <f>E1016+E1010</f>
        <v>11735013.859999999</v>
      </c>
      <c r="F1009" s="84">
        <f t="shared" si="127"/>
        <v>0.14000000059604645</v>
      </c>
    </row>
    <row r="1010" spans="1:6" s="44" customFormat="1" ht="13" x14ac:dyDescent="0.3">
      <c r="A1010" s="124" t="s">
        <v>1259</v>
      </c>
      <c r="B1010" s="81" t="s">
        <v>390</v>
      </c>
      <c r="C1010" s="107" t="s">
        <v>1260</v>
      </c>
      <c r="D1010" s="83">
        <f>D1011</f>
        <v>1859764</v>
      </c>
      <c r="E1010" s="83">
        <f>E1011</f>
        <v>1859763.86</v>
      </c>
      <c r="F1010" s="84">
        <f t="shared" si="127"/>
        <v>0.13999999989755452</v>
      </c>
    </row>
    <row r="1011" spans="1:6" s="44" customFormat="1" ht="23" x14ac:dyDescent="0.3">
      <c r="A1011" s="89" t="s">
        <v>1261</v>
      </c>
      <c r="B1011" s="81" t="s">
        <v>390</v>
      </c>
      <c r="C1011" s="88" t="s">
        <v>1262</v>
      </c>
      <c r="D1011" s="83">
        <f>D1012</f>
        <v>1859764</v>
      </c>
      <c r="E1011" s="83">
        <f>E1012</f>
        <v>1859763.86</v>
      </c>
      <c r="F1011" s="84">
        <f>D1011-E1011</f>
        <v>0.13999999989755452</v>
      </c>
    </row>
    <row r="1012" spans="1:6" s="44" customFormat="1" ht="57.5" x14ac:dyDescent="0.3">
      <c r="A1012" s="89" t="s">
        <v>1263</v>
      </c>
      <c r="B1012" s="81" t="s">
        <v>390</v>
      </c>
      <c r="C1012" s="88" t="s">
        <v>1264</v>
      </c>
      <c r="D1012" s="83">
        <f t="shared" ref="D1012:E1014" si="128">D1013</f>
        <v>1859764</v>
      </c>
      <c r="E1012" s="83">
        <f t="shared" si="128"/>
        <v>1859763.86</v>
      </c>
      <c r="F1012" s="84">
        <f t="shared" si="127"/>
        <v>0.13999999989755452</v>
      </c>
    </row>
    <row r="1013" spans="1:6" s="44" customFormat="1" ht="23" x14ac:dyDescent="0.3">
      <c r="A1013" s="90" t="s">
        <v>791</v>
      </c>
      <c r="B1013" s="94" t="s">
        <v>390</v>
      </c>
      <c r="C1013" s="91" t="s">
        <v>1265</v>
      </c>
      <c r="D1013" s="92">
        <f t="shared" si="128"/>
        <v>1859764</v>
      </c>
      <c r="E1013" s="92">
        <f t="shared" si="128"/>
        <v>1859763.86</v>
      </c>
      <c r="F1013" s="93">
        <f t="shared" si="127"/>
        <v>0.13999999989755452</v>
      </c>
    </row>
    <row r="1014" spans="1:6" s="44" customFormat="1" ht="26.5" customHeight="1" x14ac:dyDescent="0.3">
      <c r="A1014" s="90" t="s">
        <v>550</v>
      </c>
      <c r="B1014" s="94" t="s">
        <v>390</v>
      </c>
      <c r="C1014" s="91" t="s">
        <v>1266</v>
      </c>
      <c r="D1014" s="92">
        <f t="shared" si="128"/>
        <v>1859764</v>
      </c>
      <c r="E1014" s="92">
        <f t="shared" si="128"/>
        <v>1859763.86</v>
      </c>
      <c r="F1014" s="93">
        <f t="shared" si="127"/>
        <v>0.13999999989755452</v>
      </c>
    </row>
    <row r="1015" spans="1:6" s="44" customFormat="1" ht="35.5" customHeight="1" x14ac:dyDescent="0.3">
      <c r="A1015" s="90" t="s">
        <v>552</v>
      </c>
      <c r="B1015" s="94" t="s">
        <v>390</v>
      </c>
      <c r="C1015" s="91" t="s">
        <v>1267</v>
      </c>
      <c r="D1015" s="92">
        <v>1859764</v>
      </c>
      <c r="E1015" s="92">
        <v>1859763.86</v>
      </c>
      <c r="F1015" s="93">
        <f t="shared" si="127"/>
        <v>0.13999999989755452</v>
      </c>
    </row>
    <row r="1016" spans="1:6" s="44" customFormat="1" ht="13" x14ac:dyDescent="0.3">
      <c r="A1016" s="125" t="s">
        <v>1268</v>
      </c>
      <c r="B1016" s="81" t="s">
        <v>390</v>
      </c>
      <c r="C1016" s="107" t="s">
        <v>1269</v>
      </c>
      <c r="D1016" s="83">
        <f t="shared" ref="D1016:E1020" si="129">D1017</f>
        <v>9875250</v>
      </c>
      <c r="E1016" s="83">
        <f t="shared" si="129"/>
        <v>9875250</v>
      </c>
      <c r="F1016" s="84">
        <f t="shared" si="127"/>
        <v>0</v>
      </c>
    </row>
    <row r="1017" spans="1:6" s="44" customFormat="1" ht="26" x14ac:dyDescent="0.3">
      <c r="A1017" s="87" t="s">
        <v>1270</v>
      </c>
      <c r="B1017" s="81" t="s">
        <v>390</v>
      </c>
      <c r="C1017" s="88" t="s">
        <v>1271</v>
      </c>
      <c r="D1017" s="83">
        <f>D1018+D1022</f>
        <v>9875250</v>
      </c>
      <c r="E1017" s="83">
        <f>E1018+E1022</f>
        <v>9875250</v>
      </c>
      <c r="F1017" s="84">
        <f t="shared" si="127"/>
        <v>0</v>
      </c>
    </row>
    <row r="1018" spans="1:6" s="44" customFormat="1" ht="80.5" hidden="1" x14ac:dyDescent="0.3">
      <c r="A1018" s="89" t="s">
        <v>1272</v>
      </c>
      <c r="B1018" s="81" t="s">
        <v>390</v>
      </c>
      <c r="C1018" s="88" t="s">
        <v>1273</v>
      </c>
      <c r="D1018" s="83">
        <f t="shared" si="129"/>
        <v>0</v>
      </c>
      <c r="E1018" s="83">
        <f t="shared" si="129"/>
        <v>0</v>
      </c>
      <c r="F1018" s="84">
        <f t="shared" si="127"/>
        <v>0</v>
      </c>
    </row>
    <row r="1019" spans="1:6" s="44" customFormat="1" ht="23" hidden="1" x14ac:dyDescent="0.3">
      <c r="A1019" s="90" t="s">
        <v>791</v>
      </c>
      <c r="B1019" s="94" t="s">
        <v>390</v>
      </c>
      <c r="C1019" s="91" t="s">
        <v>1274</v>
      </c>
      <c r="D1019" s="92">
        <f t="shared" si="129"/>
        <v>0</v>
      </c>
      <c r="E1019" s="92">
        <f t="shared" si="129"/>
        <v>0</v>
      </c>
      <c r="F1019" s="93">
        <f t="shared" si="127"/>
        <v>0</v>
      </c>
    </row>
    <row r="1020" spans="1:6" s="44" customFormat="1" ht="34.5" hidden="1" x14ac:dyDescent="0.3">
      <c r="A1020" s="90" t="s">
        <v>550</v>
      </c>
      <c r="B1020" s="94" t="s">
        <v>390</v>
      </c>
      <c r="C1020" s="91" t="s">
        <v>1275</v>
      </c>
      <c r="D1020" s="92">
        <f t="shared" si="129"/>
        <v>0</v>
      </c>
      <c r="E1020" s="92">
        <f t="shared" si="129"/>
        <v>0</v>
      </c>
      <c r="F1020" s="93">
        <f t="shared" si="127"/>
        <v>0</v>
      </c>
    </row>
    <row r="1021" spans="1:6" s="44" customFormat="1" ht="23" hidden="1" x14ac:dyDescent="0.3">
      <c r="A1021" s="90" t="s">
        <v>1276</v>
      </c>
      <c r="B1021" s="94" t="s">
        <v>390</v>
      </c>
      <c r="C1021" s="91" t="s">
        <v>1277</v>
      </c>
      <c r="D1021" s="92"/>
      <c r="E1021" s="92"/>
      <c r="F1021" s="93">
        <f t="shared" si="127"/>
        <v>0</v>
      </c>
    </row>
    <row r="1022" spans="1:6" s="44" customFormat="1" ht="72.650000000000006" customHeight="1" x14ac:dyDescent="0.3">
      <c r="A1022" s="89" t="s">
        <v>1278</v>
      </c>
      <c r="B1022" s="81" t="s">
        <v>390</v>
      </c>
      <c r="C1022" s="88" t="s">
        <v>1279</v>
      </c>
      <c r="D1022" s="83">
        <f t="shared" ref="D1022:E1032" si="130">D1023</f>
        <v>9875250</v>
      </c>
      <c r="E1022" s="83">
        <f t="shared" si="130"/>
        <v>9875250</v>
      </c>
      <c r="F1022" s="84">
        <f t="shared" si="127"/>
        <v>0</v>
      </c>
    </row>
    <row r="1023" spans="1:6" s="44" customFormat="1" ht="23" x14ac:dyDescent="0.3">
      <c r="A1023" s="90" t="s">
        <v>791</v>
      </c>
      <c r="B1023" s="94" t="s">
        <v>390</v>
      </c>
      <c r="C1023" s="91" t="s">
        <v>1280</v>
      </c>
      <c r="D1023" s="92">
        <f t="shared" si="130"/>
        <v>9875250</v>
      </c>
      <c r="E1023" s="92">
        <f t="shared" si="130"/>
        <v>9875250</v>
      </c>
      <c r="F1023" s="93">
        <f t="shared" si="127"/>
        <v>0</v>
      </c>
    </row>
    <row r="1024" spans="1:6" s="44" customFormat="1" ht="28" customHeight="1" x14ac:dyDescent="0.3">
      <c r="A1024" s="90" t="s">
        <v>550</v>
      </c>
      <c r="B1024" s="94" t="s">
        <v>390</v>
      </c>
      <c r="C1024" s="91" t="s">
        <v>1281</v>
      </c>
      <c r="D1024" s="92">
        <f t="shared" si="130"/>
        <v>9875250</v>
      </c>
      <c r="E1024" s="92">
        <f t="shared" si="130"/>
        <v>9875250</v>
      </c>
      <c r="F1024" s="93">
        <f t="shared" si="127"/>
        <v>0</v>
      </c>
    </row>
    <row r="1025" spans="1:6" s="44" customFormat="1" ht="16.5" customHeight="1" x14ac:dyDescent="0.3">
      <c r="A1025" s="90" t="s">
        <v>1276</v>
      </c>
      <c r="B1025" s="94" t="s">
        <v>390</v>
      </c>
      <c r="C1025" s="91" t="s">
        <v>1282</v>
      </c>
      <c r="D1025" s="92">
        <f>D1030+D1034</f>
        <v>9875250</v>
      </c>
      <c r="E1025" s="92">
        <f>E1030+E1034</f>
        <v>9875250</v>
      </c>
      <c r="F1025" s="93">
        <f t="shared" si="127"/>
        <v>0</v>
      </c>
    </row>
    <row r="1026" spans="1:6" s="44" customFormat="1" ht="13" x14ac:dyDescent="0.3">
      <c r="A1026" s="87" t="s">
        <v>121</v>
      </c>
      <c r="B1026" s="94"/>
      <c r="C1026" s="91"/>
      <c r="D1026" s="92"/>
      <c r="E1026" s="92"/>
      <c r="F1026" s="93"/>
    </row>
    <row r="1027" spans="1:6" s="44" customFormat="1" ht="13.5" x14ac:dyDescent="0.3">
      <c r="A1027" s="97" t="s">
        <v>414</v>
      </c>
      <c r="B1027" s="81" t="s">
        <v>390</v>
      </c>
      <c r="C1027" s="88" t="s">
        <v>1279</v>
      </c>
      <c r="D1027" s="83">
        <f t="shared" si="130"/>
        <v>1000000</v>
      </c>
      <c r="E1027" s="83">
        <f t="shared" si="130"/>
        <v>1000000</v>
      </c>
      <c r="F1027" s="84">
        <f>D1027-E1027</f>
        <v>0</v>
      </c>
    </row>
    <row r="1028" spans="1:6" s="44" customFormat="1" ht="23" x14ac:dyDescent="0.3">
      <c r="A1028" s="90" t="s">
        <v>791</v>
      </c>
      <c r="B1028" s="94" t="s">
        <v>390</v>
      </c>
      <c r="C1028" s="91" t="s">
        <v>1280</v>
      </c>
      <c r="D1028" s="92">
        <f t="shared" si="130"/>
        <v>1000000</v>
      </c>
      <c r="E1028" s="92">
        <f t="shared" si="130"/>
        <v>1000000</v>
      </c>
      <c r="F1028" s="93">
        <f>D1028-E1028</f>
        <v>0</v>
      </c>
    </row>
    <row r="1029" spans="1:6" s="44" customFormat="1" ht="29.15" customHeight="1" x14ac:dyDescent="0.3">
      <c r="A1029" s="90" t="s">
        <v>550</v>
      </c>
      <c r="B1029" s="94" t="s">
        <v>390</v>
      </c>
      <c r="C1029" s="91" t="s">
        <v>1281</v>
      </c>
      <c r="D1029" s="92">
        <f t="shared" si="130"/>
        <v>1000000</v>
      </c>
      <c r="E1029" s="92">
        <f t="shared" si="130"/>
        <v>1000000</v>
      </c>
      <c r="F1029" s="93">
        <f>D1029-E1029</f>
        <v>0</v>
      </c>
    </row>
    <row r="1030" spans="1:6" s="44" customFormat="1" ht="18" customHeight="1" x14ac:dyDescent="0.3">
      <c r="A1030" s="90" t="s">
        <v>1276</v>
      </c>
      <c r="B1030" s="94" t="s">
        <v>390</v>
      </c>
      <c r="C1030" s="91" t="s">
        <v>1282</v>
      </c>
      <c r="D1030" s="92">
        <v>1000000</v>
      </c>
      <c r="E1030" s="92">
        <v>1000000</v>
      </c>
      <c r="F1030" s="93">
        <f>D1030-E1030</f>
        <v>0</v>
      </c>
    </row>
    <row r="1031" spans="1:6" ht="27" x14ac:dyDescent="0.3">
      <c r="A1031" s="97" t="s">
        <v>955</v>
      </c>
      <c r="B1031" s="81" t="s">
        <v>390</v>
      </c>
      <c r="C1031" s="88" t="s">
        <v>1283</v>
      </c>
      <c r="D1031" s="83">
        <f t="shared" si="130"/>
        <v>8875250</v>
      </c>
      <c r="E1031" s="83">
        <f t="shared" si="130"/>
        <v>8875250</v>
      </c>
      <c r="F1031" s="84">
        <f t="shared" ref="F1031:F1053" si="131">D1031-E1031</f>
        <v>0</v>
      </c>
    </row>
    <row r="1032" spans="1:6" ht="23" x14ac:dyDescent="0.25">
      <c r="A1032" s="90" t="s">
        <v>791</v>
      </c>
      <c r="B1032" s="94" t="s">
        <v>390</v>
      </c>
      <c r="C1032" s="91" t="s">
        <v>1284</v>
      </c>
      <c r="D1032" s="92">
        <f t="shared" si="130"/>
        <v>8875250</v>
      </c>
      <c r="E1032" s="92">
        <f t="shared" si="130"/>
        <v>8875250</v>
      </c>
      <c r="F1032" s="93">
        <f t="shared" si="131"/>
        <v>0</v>
      </c>
    </row>
    <row r="1033" spans="1:6" ht="34.5" x14ac:dyDescent="0.25">
      <c r="A1033" s="90" t="s">
        <v>550</v>
      </c>
      <c r="B1033" s="94" t="s">
        <v>390</v>
      </c>
      <c r="C1033" s="91" t="s">
        <v>1285</v>
      </c>
      <c r="D1033" s="92">
        <f>D1034</f>
        <v>8875250</v>
      </c>
      <c r="E1033" s="92">
        <f>E1034</f>
        <v>8875250</v>
      </c>
      <c r="F1033" s="93">
        <f t="shared" si="131"/>
        <v>0</v>
      </c>
    </row>
    <row r="1034" spans="1:6" ht="18" customHeight="1" x14ac:dyDescent="0.25">
      <c r="A1034" s="90" t="s">
        <v>1276</v>
      </c>
      <c r="B1034" s="94" t="s">
        <v>390</v>
      </c>
      <c r="C1034" s="91" t="s">
        <v>1286</v>
      </c>
      <c r="D1034" s="92">
        <v>8875250</v>
      </c>
      <c r="E1034" s="92">
        <v>8875250</v>
      </c>
      <c r="F1034" s="93">
        <f t="shared" si="131"/>
        <v>0</v>
      </c>
    </row>
    <row r="1035" spans="1:6" ht="26" x14ac:dyDescent="0.3">
      <c r="A1035" s="87" t="s">
        <v>1287</v>
      </c>
      <c r="B1035" s="81" t="s">
        <v>390</v>
      </c>
      <c r="C1035" s="107" t="s">
        <v>1288</v>
      </c>
      <c r="D1035" s="83">
        <f t="shared" ref="D1035:E1037" si="132">D1036</f>
        <v>1341352</v>
      </c>
      <c r="E1035" s="83">
        <f t="shared" si="132"/>
        <v>1311914.1600000001</v>
      </c>
      <c r="F1035" s="84">
        <f t="shared" si="131"/>
        <v>29437.839999999851</v>
      </c>
    </row>
    <row r="1036" spans="1:6" ht="13" x14ac:dyDescent="0.3">
      <c r="A1036" s="87" t="s">
        <v>1289</v>
      </c>
      <c r="B1036" s="81" t="s">
        <v>390</v>
      </c>
      <c r="C1036" s="107" t="s">
        <v>1290</v>
      </c>
      <c r="D1036" s="83">
        <f t="shared" si="132"/>
        <v>1341352</v>
      </c>
      <c r="E1036" s="83">
        <f t="shared" si="132"/>
        <v>1311914.1600000001</v>
      </c>
      <c r="F1036" s="84">
        <f t="shared" si="131"/>
        <v>29437.839999999851</v>
      </c>
    </row>
    <row r="1037" spans="1:6" ht="26" x14ac:dyDescent="0.3">
      <c r="A1037" s="87" t="s">
        <v>1291</v>
      </c>
      <c r="B1037" s="81" t="s">
        <v>390</v>
      </c>
      <c r="C1037" s="88" t="s">
        <v>1292</v>
      </c>
      <c r="D1037" s="83">
        <f t="shared" si="132"/>
        <v>1341352</v>
      </c>
      <c r="E1037" s="83">
        <f t="shared" si="132"/>
        <v>1311914.1600000001</v>
      </c>
      <c r="F1037" s="84">
        <f t="shared" si="131"/>
        <v>29437.839999999851</v>
      </c>
    </row>
    <row r="1038" spans="1:6" ht="46" x14ac:dyDescent="0.3">
      <c r="A1038" s="89" t="s">
        <v>1293</v>
      </c>
      <c r="B1038" s="81" t="s">
        <v>390</v>
      </c>
      <c r="C1038" s="88" t="s">
        <v>1294</v>
      </c>
      <c r="D1038" s="83">
        <f>D1042+D1045+D1039</f>
        <v>1341352</v>
      </c>
      <c r="E1038" s="83">
        <f>E1042+E1045+E1039</f>
        <v>1311914.1600000001</v>
      </c>
      <c r="F1038" s="84">
        <f t="shared" si="131"/>
        <v>29437.839999999851</v>
      </c>
    </row>
    <row r="1039" spans="1:6" ht="69" x14ac:dyDescent="0.25">
      <c r="A1039" s="90" t="s">
        <v>482</v>
      </c>
      <c r="B1039" s="94" t="s">
        <v>390</v>
      </c>
      <c r="C1039" s="91" t="s">
        <v>1295</v>
      </c>
      <c r="D1039" s="92">
        <f>D1040</f>
        <v>402000</v>
      </c>
      <c r="E1039" s="92">
        <f>E1040</f>
        <v>387913</v>
      </c>
      <c r="F1039" s="93">
        <f t="shared" si="131"/>
        <v>14087</v>
      </c>
    </row>
    <row r="1040" spans="1:6" ht="23" x14ac:dyDescent="0.25">
      <c r="A1040" s="90" t="s">
        <v>535</v>
      </c>
      <c r="B1040" s="94" t="s">
        <v>390</v>
      </c>
      <c r="C1040" s="91" t="s">
        <v>1296</v>
      </c>
      <c r="D1040" s="92">
        <f>SUM(D1041:D1041)</f>
        <v>402000</v>
      </c>
      <c r="E1040" s="92">
        <f>SUM(E1041:E1041)</f>
        <v>387913</v>
      </c>
      <c r="F1040" s="93">
        <f t="shared" si="131"/>
        <v>14087</v>
      </c>
    </row>
    <row r="1041" spans="1:6" ht="34.5" x14ac:dyDescent="0.25">
      <c r="A1041" s="90" t="s">
        <v>610</v>
      </c>
      <c r="B1041" s="94" t="s">
        <v>390</v>
      </c>
      <c r="C1041" s="91" t="s">
        <v>1297</v>
      </c>
      <c r="D1041" s="92">
        <v>402000</v>
      </c>
      <c r="E1041" s="92">
        <v>387913</v>
      </c>
      <c r="F1041" s="93">
        <f t="shared" si="131"/>
        <v>14087</v>
      </c>
    </row>
    <row r="1042" spans="1:6" ht="23" x14ac:dyDescent="0.25">
      <c r="A1042" s="90" t="s">
        <v>492</v>
      </c>
      <c r="B1042" s="94" t="s">
        <v>390</v>
      </c>
      <c r="C1042" s="91" t="s">
        <v>1298</v>
      </c>
      <c r="D1042" s="92">
        <f t="shared" ref="D1042:E1045" si="133">D1043</f>
        <v>928852</v>
      </c>
      <c r="E1042" s="92">
        <f t="shared" si="133"/>
        <v>913501.16</v>
      </c>
      <c r="F1042" s="93">
        <f t="shared" si="131"/>
        <v>15350.839999999967</v>
      </c>
    </row>
    <row r="1043" spans="1:6" s="44" customFormat="1" ht="34.5" x14ac:dyDescent="0.3">
      <c r="A1043" s="90" t="s">
        <v>398</v>
      </c>
      <c r="B1043" s="94" t="s">
        <v>390</v>
      </c>
      <c r="C1043" s="91" t="s">
        <v>1299</v>
      </c>
      <c r="D1043" s="92">
        <f t="shared" si="133"/>
        <v>928852</v>
      </c>
      <c r="E1043" s="92">
        <f t="shared" si="133"/>
        <v>913501.16</v>
      </c>
      <c r="F1043" s="93">
        <f t="shared" si="131"/>
        <v>15350.839999999967</v>
      </c>
    </row>
    <row r="1044" spans="1:6" x14ac:dyDescent="0.25">
      <c r="A1044" s="90" t="s">
        <v>400</v>
      </c>
      <c r="B1044" s="94" t="s">
        <v>390</v>
      </c>
      <c r="C1044" s="91" t="s">
        <v>1300</v>
      </c>
      <c r="D1044" s="92">
        <v>928852</v>
      </c>
      <c r="E1044" s="92">
        <v>913501.16</v>
      </c>
      <c r="F1044" s="93">
        <f t="shared" si="131"/>
        <v>15350.839999999967</v>
      </c>
    </row>
    <row r="1045" spans="1:6" s="44" customFormat="1" ht="23" x14ac:dyDescent="0.3">
      <c r="A1045" s="90" t="s">
        <v>791</v>
      </c>
      <c r="B1045" s="94" t="s">
        <v>390</v>
      </c>
      <c r="C1045" s="91" t="s">
        <v>1301</v>
      </c>
      <c r="D1045" s="92">
        <f t="shared" si="133"/>
        <v>10500</v>
      </c>
      <c r="E1045" s="92">
        <f t="shared" si="133"/>
        <v>10500</v>
      </c>
      <c r="F1045" s="93">
        <f t="shared" si="131"/>
        <v>0</v>
      </c>
    </row>
    <row r="1046" spans="1:6" s="44" customFormat="1" ht="14.15" customHeight="1" x14ac:dyDescent="0.3">
      <c r="A1046" s="90" t="s">
        <v>719</v>
      </c>
      <c r="B1046" s="94" t="s">
        <v>390</v>
      </c>
      <c r="C1046" s="91" t="s">
        <v>1302</v>
      </c>
      <c r="D1046" s="92">
        <v>10500</v>
      </c>
      <c r="E1046" s="92">
        <v>10500</v>
      </c>
      <c r="F1046" s="93">
        <f t="shared" si="131"/>
        <v>0</v>
      </c>
    </row>
    <row r="1047" spans="1:6" ht="26" x14ac:dyDescent="0.3">
      <c r="A1047" s="87" t="s">
        <v>1303</v>
      </c>
      <c r="B1047" s="81" t="s">
        <v>390</v>
      </c>
      <c r="C1047" s="107" t="s">
        <v>1304</v>
      </c>
      <c r="D1047" s="83">
        <f t="shared" ref="D1047:E1051" si="134">D1048</f>
        <v>3554300</v>
      </c>
      <c r="E1047" s="83">
        <f t="shared" si="134"/>
        <v>3554300</v>
      </c>
      <c r="F1047" s="84">
        <f t="shared" si="131"/>
        <v>0</v>
      </c>
    </row>
    <row r="1048" spans="1:6" ht="26" x14ac:dyDescent="0.3">
      <c r="A1048" s="87" t="s">
        <v>1305</v>
      </c>
      <c r="B1048" s="94" t="s">
        <v>390</v>
      </c>
      <c r="C1048" s="107" t="s">
        <v>1306</v>
      </c>
      <c r="D1048" s="83">
        <f t="shared" si="134"/>
        <v>3554300</v>
      </c>
      <c r="E1048" s="83">
        <f t="shared" si="134"/>
        <v>3554300</v>
      </c>
      <c r="F1048" s="84">
        <f t="shared" si="131"/>
        <v>0</v>
      </c>
    </row>
    <row r="1049" spans="1:6" ht="39" x14ac:dyDescent="0.3">
      <c r="A1049" s="87" t="s">
        <v>1307</v>
      </c>
      <c r="B1049" s="81" t="s">
        <v>390</v>
      </c>
      <c r="C1049" s="107" t="s">
        <v>1308</v>
      </c>
      <c r="D1049" s="83">
        <f>D1050</f>
        <v>3554300</v>
      </c>
      <c r="E1049" s="83">
        <f>E1050</f>
        <v>3554300</v>
      </c>
      <c r="F1049" s="84">
        <f t="shared" si="131"/>
        <v>0</v>
      </c>
    </row>
    <row r="1050" spans="1:6" ht="73.5" customHeight="1" x14ac:dyDescent="0.3">
      <c r="A1050" s="89" t="s">
        <v>1309</v>
      </c>
      <c r="B1050" s="81" t="s">
        <v>390</v>
      </c>
      <c r="C1050" s="107" t="s">
        <v>1310</v>
      </c>
      <c r="D1050" s="83">
        <f t="shared" si="134"/>
        <v>3554300</v>
      </c>
      <c r="E1050" s="83">
        <f t="shared" si="134"/>
        <v>3554300</v>
      </c>
      <c r="F1050" s="84">
        <f t="shared" si="131"/>
        <v>0</v>
      </c>
    </row>
    <row r="1051" spans="1:6" ht="34.5" x14ac:dyDescent="0.25">
      <c r="A1051" s="90" t="s">
        <v>404</v>
      </c>
      <c r="B1051" s="94" t="s">
        <v>390</v>
      </c>
      <c r="C1051" s="120" t="s">
        <v>1311</v>
      </c>
      <c r="D1051" s="92">
        <f t="shared" si="134"/>
        <v>3554300</v>
      </c>
      <c r="E1051" s="92">
        <f t="shared" si="134"/>
        <v>3554300</v>
      </c>
      <c r="F1051" s="93">
        <f t="shared" si="131"/>
        <v>0</v>
      </c>
    </row>
    <row r="1052" spans="1:6" x14ac:dyDescent="0.25">
      <c r="A1052" s="90" t="s">
        <v>1312</v>
      </c>
      <c r="B1052" s="94" t="s">
        <v>390</v>
      </c>
      <c r="C1052" s="120" t="s">
        <v>1313</v>
      </c>
      <c r="D1052" s="92">
        <f>D1053</f>
        <v>3554300</v>
      </c>
      <c r="E1052" s="92">
        <f>E1053</f>
        <v>3554300</v>
      </c>
      <c r="F1052" s="93">
        <f t="shared" si="131"/>
        <v>0</v>
      </c>
    </row>
    <row r="1053" spans="1:6" ht="58" thickBot="1" x14ac:dyDescent="0.3">
      <c r="A1053" s="126" t="s">
        <v>1314</v>
      </c>
      <c r="B1053" s="94" t="s">
        <v>390</v>
      </c>
      <c r="C1053" s="91" t="s">
        <v>1315</v>
      </c>
      <c r="D1053" s="92">
        <v>3554300</v>
      </c>
      <c r="E1053" s="92">
        <v>3554300</v>
      </c>
      <c r="F1053" s="93">
        <f t="shared" si="131"/>
        <v>0</v>
      </c>
    </row>
    <row r="1054" spans="1:6" ht="13.5" thickBot="1" x14ac:dyDescent="0.35">
      <c r="A1054" s="127"/>
      <c r="B1054" s="128"/>
      <c r="C1054" s="129"/>
      <c r="D1054" s="130"/>
      <c r="E1054" s="130"/>
      <c r="F1054" s="131"/>
    </row>
    <row r="1055" spans="1:6" ht="23.5" thickBot="1" x14ac:dyDescent="0.3">
      <c r="A1055" s="132" t="s">
        <v>1316</v>
      </c>
      <c r="B1055" s="133">
        <v>450</v>
      </c>
      <c r="C1055" s="134" t="s">
        <v>388</v>
      </c>
      <c r="D1055" s="135">
        <f>-D1065</f>
        <v>-44328708.669999957</v>
      </c>
      <c r="E1055" s="135">
        <f>E15-E211</f>
        <v>-21188739.7299999</v>
      </c>
      <c r="F1055" s="136" t="s">
        <v>388</v>
      </c>
    </row>
    <row r="1056" spans="1:6" ht="5.65" customHeight="1" x14ac:dyDescent="0.3">
      <c r="A1056" s="137"/>
      <c r="B1056" s="138"/>
      <c r="C1056" s="138"/>
      <c r="D1056" s="139"/>
      <c r="E1056" s="139"/>
    </row>
    <row r="1057" spans="1:6" ht="26" x14ac:dyDescent="0.3">
      <c r="A1057" s="140"/>
      <c r="B1057" s="141"/>
      <c r="C1057" s="142" t="s">
        <v>1317</v>
      </c>
      <c r="D1057" s="139">
        <f>D1053</f>
        <v>3554300</v>
      </c>
      <c r="E1057" s="139">
        <f>E1053</f>
        <v>3554300</v>
      </c>
    </row>
    <row r="1058" spans="1:6" ht="13" x14ac:dyDescent="0.3">
      <c r="A1058" s="140"/>
      <c r="B1058" s="141"/>
      <c r="C1058" s="141" t="s">
        <v>1318</v>
      </c>
      <c r="D1058" s="139">
        <f>D428+D441+D444+D533+D588+D803+D807+D858+D862+D976</f>
        <v>656586</v>
      </c>
      <c r="E1058" s="139">
        <f>E428+E441+E444+E533+E588+E803+E807+E858+E862+E976</f>
        <v>493024.33999999997</v>
      </c>
      <c r="F1058" s="139"/>
    </row>
    <row r="1059" spans="1:6" ht="13" x14ac:dyDescent="0.3">
      <c r="A1059" s="140"/>
      <c r="B1059" s="141"/>
      <c r="C1059" s="143" t="s">
        <v>1319</v>
      </c>
      <c r="D1059" s="139">
        <f>D215+D236+D257+D270+D283+D305+D383+D446+D451+D485+D491+D536+D542+D593+D617+D624+D647+D653+D672+D698+D716+D731+D759+D779+D809+D818+D827+D845+D864+D873+D894+D899+D959+D979+D998+D1005+D1011+D1017+D1037+D1049</f>
        <v>552599738.8900001</v>
      </c>
      <c r="E1059" s="139">
        <f>E215+E236+E257+E270+E283+E305+E383+E446+E451+E485+E491+E536+E542+E593+E617+E624+E647+E653+E672+E698+E716+E731+E759+E779+E809+E818+E827+E845+E864+E873+E894+E899+E959+E979+E998+E1005+E1011+E1017+E1037+E1049</f>
        <v>542913983.37</v>
      </c>
    </row>
    <row r="1060" spans="1:6" ht="13" x14ac:dyDescent="0.3">
      <c r="A1060" s="140"/>
      <c r="B1060" s="141"/>
      <c r="C1060" s="143"/>
      <c r="D1060" s="139"/>
      <c r="E1060" s="139"/>
    </row>
    <row r="1061" spans="1:6" ht="21" customHeight="1" x14ac:dyDescent="0.3">
      <c r="A1061" s="140" t="s">
        <v>31</v>
      </c>
      <c r="B1061" s="141" t="s">
        <v>1320</v>
      </c>
      <c r="C1061" s="143"/>
      <c r="D1061" s="139"/>
      <c r="E1061" s="139"/>
    </row>
    <row r="1062" spans="1:6" ht="13" hidden="1" x14ac:dyDescent="0.3">
      <c r="A1062" s="140"/>
      <c r="B1062" s="141"/>
      <c r="C1062" s="143"/>
      <c r="D1062" s="139"/>
      <c r="E1062" s="139"/>
    </row>
    <row r="1063" spans="1:6" ht="13" x14ac:dyDescent="0.3">
      <c r="A1063" s="140"/>
      <c r="B1063" s="141"/>
      <c r="C1063" s="141"/>
      <c r="D1063" s="141"/>
    </row>
    <row r="1064" spans="1:6" ht="46.15" customHeight="1" thickBot="1" x14ac:dyDescent="0.3">
      <c r="A1064" s="144" t="s">
        <v>19</v>
      </c>
      <c r="B1064" s="145" t="s">
        <v>20</v>
      </c>
      <c r="C1064" s="145" t="s">
        <v>1321</v>
      </c>
      <c r="D1064" s="146" t="s">
        <v>22</v>
      </c>
      <c r="E1064" s="147" t="s">
        <v>1322</v>
      </c>
      <c r="F1064" s="147" t="s">
        <v>24</v>
      </c>
    </row>
    <row r="1065" spans="1:6" ht="21" customHeight="1" x14ac:dyDescent="0.25">
      <c r="A1065" s="148" t="s">
        <v>1323</v>
      </c>
      <c r="B1065" s="149">
        <v>500</v>
      </c>
      <c r="C1065" s="150" t="s">
        <v>388</v>
      </c>
      <c r="D1065" s="151">
        <f>D1071</f>
        <v>44328708.669999957</v>
      </c>
      <c r="E1065" s="151">
        <f>E1071</f>
        <v>21188739.7299999</v>
      </c>
      <c r="F1065" s="152">
        <f>D1065-E1065</f>
        <v>23139968.940000057</v>
      </c>
    </row>
    <row r="1066" spans="1:6" ht="21" hidden="1" customHeight="1" x14ac:dyDescent="0.25">
      <c r="A1066" s="153" t="s">
        <v>121</v>
      </c>
      <c r="B1066" s="154"/>
      <c r="C1066" s="155"/>
      <c r="D1066" s="156"/>
      <c r="E1066" s="156"/>
      <c r="F1066" s="79"/>
    </row>
    <row r="1067" spans="1:6" ht="21" hidden="1" customHeight="1" x14ac:dyDescent="0.25">
      <c r="A1067" s="157" t="s">
        <v>1324</v>
      </c>
      <c r="B1067" s="158">
        <v>520</v>
      </c>
      <c r="C1067" s="159" t="s">
        <v>388</v>
      </c>
      <c r="D1067" s="160"/>
      <c r="E1067" s="160"/>
      <c r="F1067" s="161"/>
    </row>
    <row r="1068" spans="1:6" ht="21" hidden="1" customHeight="1" x14ac:dyDescent="0.25">
      <c r="A1068" s="162" t="s">
        <v>1325</v>
      </c>
      <c r="B1068" s="154"/>
      <c r="C1068" s="155"/>
      <c r="D1068" s="156"/>
      <c r="E1068" s="156"/>
      <c r="F1068" s="79"/>
    </row>
    <row r="1069" spans="1:6" ht="21" hidden="1" customHeight="1" x14ac:dyDescent="0.25">
      <c r="A1069" s="163" t="s">
        <v>1326</v>
      </c>
      <c r="B1069" s="158">
        <v>620</v>
      </c>
      <c r="C1069" s="164" t="s">
        <v>388</v>
      </c>
      <c r="D1069" s="160"/>
      <c r="E1069" s="160"/>
      <c r="F1069" s="161"/>
    </row>
    <row r="1070" spans="1:6" ht="21" hidden="1" customHeight="1" x14ac:dyDescent="0.25">
      <c r="A1070" s="163" t="s">
        <v>1325</v>
      </c>
      <c r="B1070" s="158"/>
      <c r="C1070" s="164"/>
      <c r="D1070" s="165"/>
      <c r="E1070" s="165"/>
      <c r="F1070" s="161"/>
    </row>
    <row r="1071" spans="1:6" ht="21" customHeight="1" x14ac:dyDescent="0.25">
      <c r="A1071" s="166" t="s">
        <v>1327</v>
      </c>
      <c r="B1071" s="167">
        <v>700</v>
      </c>
      <c r="C1071" s="168"/>
      <c r="D1071" s="78">
        <f>D1072+D1073</f>
        <v>44328708.669999957</v>
      </c>
      <c r="E1071" s="78">
        <f>E1074+E1082</f>
        <v>21188739.7299999</v>
      </c>
      <c r="F1071" s="161">
        <f>D1071-E1071</f>
        <v>23139968.940000057</v>
      </c>
    </row>
    <row r="1072" spans="1:6" ht="21" customHeight="1" x14ac:dyDescent="0.25">
      <c r="A1072" s="169" t="s">
        <v>1328</v>
      </c>
      <c r="B1072" s="158">
        <v>700</v>
      </c>
      <c r="C1072" s="164" t="s">
        <v>1329</v>
      </c>
      <c r="D1072" s="165">
        <f>D1076+D1084</f>
        <v>44328708.669999957</v>
      </c>
      <c r="E1072" s="165">
        <f>E1076+E1084</f>
        <v>21188739.7299999</v>
      </c>
      <c r="F1072" s="161">
        <f>D1072-E1072</f>
        <v>23139968.940000057</v>
      </c>
    </row>
    <row r="1073" spans="1:6" ht="21" hidden="1" customHeight="1" x14ac:dyDescent="0.25">
      <c r="A1073" s="169" t="s">
        <v>1328</v>
      </c>
      <c r="B1073" s="158">
        <v>700</v>
      </c>
      <c r="C1073" s="164" t="s">
        <v>1330</v>
      </c>
      <c r="D1073" s="165">
        <f>D1079+D1087</f>
        <v>0</v>
      </c>
      <c r="E1073" s="165">
        <f>E1079+E1087</f>
        <v>0</v>
      </c>
      <c r="F1073" s="170">
        <f>D1073-E1073</f>
        <v>0</v>
      </c>
    </row>
    <row r="1074" spans="1:6" ht="21" customHeight="1" x14ac:dyDescent="0.25">
      <c r="A1074" s="163" t="s">
        <v>1331</v>
      </c>
      <c r="B1074" s="158">
        <v>710</v>
      </c>
      <c r="C1074" s="164"/>
      <c r="D1074" s="165">
        <f>D1075</f>
        <v>-712340030.83000004</v>
      </c>
      <c r="E1074" s="165">
        <f>E1075</f>
        <v>-726279963.87</v>
      </c>
      <c r="F1074" s="171" t="s">
        <v>1332</v>
      </c>
    </row>
    <row r="1075" spans="1:6" ht="21" customHeight="1" x14ac:dyDescent="0.25">
      <c r="A1075" s="163" t="s">
        <v>1333</v>
      </c>
      <c r="B1075" s="158">
        <v>710</v>
      </c>
      <c r="C1075" s="164" t="s">
        <v>1334</v>
      </c>
      <c r="D1075" s="165">
        <f>D1076</f>
        <v>-712340030.83000004</v>
      </c>
      <c r="E1075" s="165">
        <f>E1076+E1079</f>
        <v>-726279963.87</v>
      </c>
      <c r="F1075" s="171" t="s">
        <v>1332</v>
      </c>
    </row>
    <row r="1076" spans="1:6" ht="21" customHeight="1" x14ac:dyDescent="0.25">
      <c r="A1076" s="163" t="s">
        <v>1335</v>
      </c>
      <c r="B1076" s="158">
        <v>710</v>
      </c>
      <c r="C1076" s="164" t="s">
        <v>1336</v>
      </c>
      <c r="D1076" s="172">
        <f>D1077</f>
        <v>-712340030.83000004</v>
      </c>
      <c r="E1076" s="172">
        <f>E1077</f>
        <v>-726279963.87</v>
      </c>
      <c r="F1076" s="171" t="s">
        <v>1332</v>
      </c>
    </row>
    <row r="1077" spans="1:6" ht="21" customHeight="1" x14ac:dyDescent="0.25">
      <c r="A1077" s="163" t="s">
        <v>1337</v>
      </c>
      <c r="B1077" s="158">
        <v>710</v>
      </c>
      <c r="C1077" s="164" t="s">
        <v>1338</v>
      </c>
      <c r="D1077" s="173">
        <f>D1078</f>
        <v>-712340030.83000004</v>
      </c>
      <c r="E1077" s="173">
        <f>E1078</f>
        <v>-726279963.87</v>
      </c>
      <c r="F1077" s="171" t="s">
        <v>1332</v>
      </c>
    </row>
    <row r="1078" spans="1:6" ht="21" customHeight="1" x14ac:dyDescent="0.25">
      <c r="A1078" s="163" t="s">
        <v>1339</v>
      </c>
      <c r="B1078" s="158">
        <v>710</v>
      </c>
      <c r="C1078" s="164" t="s">
        <v>1340</v>
      </c>
      <c r="D1078" s="173">
        <f>-D15</f>
        <v>-712340030.83000004</v>
      </c>
      <c r="E1078" s="173">
        <f>-E15-6341070.53</f>
        <v>-726279963.87</v>
      </c>
      <c r="F1078" s="171" t="s">
        <v>1332</v>
      </c>
    </row>
    <row r="1079" spans="1:6" ht="21" hidden="1" customHeight="1" x14ac:dyDescent="0.25">
      <c r="A1079" s="163" t="s">
        <v>1335</v>
      </c>
      <c r="B1079" s="158">
        <v>710</v>
      </c>
      <c r="C1079" s="164" t="s">
        <v>1341</v>
      </c>
      <c r="D1079" s="174"/>
      <c r="E1079" s="173">
        <f>E1080</f>
        <v>0</v>
      </c>
      <c r="F1079" s="171" t="s">
        <v>1332</v>
      </c>
    </row>
    <row r="1080" spans="1:6" ht="21" hidden="1" customHeight="1" x14ac:dyDescent="0.25">
      <c r="A1080" s="163" t="s">
        <v>1337</v>
      </c>
      <c r="B1080" s="158">
        <v>710</v>
      </c>
      <c r="C1080" s="164" t="s">
        <v>1342</v>
      </c>
      <c r="D1080" s="174"/>
      <c r="E1080" s="173">
        <f>E1081</f>
        <v>0</v>
      </c>
      <c r="F1080" s="171" t="s">
        <v>1332</v>
      </c>
    </row>
    <row r="1081" spans="1:6" ht="21" hidden="1" customHeight="1" x14ac:dyDescent="0.25">
      <c r="A1081" s="163" t="s">
        <v>1339</v>
      </c>
      <c r="B1081" s="158">
        <v>710</v>
      </c>
      <c r="C1081" s="164" t="s">
        <v>1343</v>
      </c>
      <c r="D1081" s="174"/>
      <c r="E1081" s="173"/>
      <c r="F1081" s="171" t="s">
        <v>1332</v>
      </c>
    </row>
    <row r="1082" spans="1:6" ht="21" customHeight="1" x14ac:dyDescent="0.25">
      <c r="A1082" s="163" t="s">
        <v>1344</v>
      </c>
      <c r="B1082" s="158">
        <v>720</v>
      </c>
      <c r="C1082" s="164"/>
      <c r="D1082" s="173">
        <f>D1083</f>
        <v>756668739.5</v>
      </c>
      <c r="E1082" s="173">
        <f>E1083</f>
        <v>747468703.5999999</v>
      </c>
      <c r="F1082" s="171" t="s">
        <v>1332</v>
      </c>
    </row>
    <row r="1083" spans="1:6" x14ac:dyDescent="0.25">
      <c r="A1083" s="163" t="s">
        <v>1345</v>
      </c>
      <c r="B1083" s="158">
        <v>720</v>
      </c>
      <c r="C1083" s="164" t="s">
        <v>1346</v>
      </c>
      <c r="D1083" s="173">
        <f>D1084+D1087</f>
        <v>756668739.5</v>
      </c>
      <c r="E1083" s="173">
        <f>E1084+E1087</f>
        <v>747468703.5999999</v>
      </c>
      <c r="F1083" s="171" t="s">
        <v>1332</v>
      </c>
    </row>
    <row r="1084" spans="1:6" x14ac:dyDescent="0.25">
      <c r="A1084" s="163" t="s">
        <v>1347</v>
      </c>
      <c r="B1084" s="158">
        <v>720</v>
      </c>
      <c r="C1084" s="164" t="s">
        <v>1348</v>
      </c>
      <c r="D1084" s="173">
        <f>D1085</f>
        <v>756668739.5</v>
      </c>
      <c r="E1084" s="173">
        <f>E1085</f>
        <v>747468703.5999999</v>
      </c>
      <c r="F1084" s="171" t="s">
        <v>1332</v>
      </c>
    </row>
    <row r="1085" spans="1:6" ht="21" x14ac:dyDescent="0.25">
      <c r="A1085" s="163" t="s">
        <v>1349</v>
      </c>
      <c r="B1085" s="158">
        <v>720</v>
      </c>
      <c r="C1085" s="164" t="s">
        <v>1350</v>
      </c>
      <c r="D1085" s="173">
        <f>D1086</f>
        <v>756668739.5</v>
      </c>
      <c r="E1085" s="173">
        <f>E1086</f>
        <v>747468703.5999999</v>
      </c>
      <c r="F1085" s="171" t="s">
        <v>1332</v>
      </c>
    </row>
    <row r="1086" spans="1:6" ht="21" x14ac:dyDescent="0.25">
      <c r="A1086" s="163" t="s">
        <v>1351</v>
      </c>
      <c r="B1086" s="158">
        <v>720</v>
      </c>
      <c r="C1086" s="164" t="s">
        <v>1352</v>
      </c>
      <c r="D1086" s="173">
        <f>D211</f>
        <v>756668739.5</v>
      </c>
      <c r="E1086" s="173">
        <f>E211+6341070.53</f>
        <v>747468703.5999999</v>
      </c>
      <c r="F1086" s="171" t="s">
        <v>1332</v>
      </c>
    </row>
    <row r="1087" spans="1:6" ht="25.15" hidden="1" customHeight="1" x14ac:dyDescent="0.25">
      <c r="A1087" s="163" t="s">
        <v>1347</v>
      </c>
      <c r="B1087" s="158">
        <v>720</v>
      </c>
      <c r="C1087" s="164" t="s">
        <v>1353</v>
      </c>
      <c r="D1087" s="175">
        <f>D1088</f>
        <v>0</v>
      </c>
      <c r="E1087" s="173">
        <f>E1088</f>
        <v>0</v>
      </c>
      <c r="F1087" s="171" t="s">
        <v>1332</v>
      </c>
    </row>
    <row r="1088" spans="1:6" ht="21" hidden="1" x14ac:dyDescent="0.25">
      <c r="A1088" s="169" t="s">
        <v>1349</v>
      </c>
      <c r="B1088" s="158">
        <v>720</v>
      </c>
      <c r="C1088" s="164" t="s">
        <v>1354</v>
      </c>
      <c r="D1088" s="176">
        <f>D1089</f>
        <v>0</v>
      </c>
      <c r="E1088" s="165">
        <f>E1089</f>
        <v>0</v>
      </c>
      <c r="F1088" s="171" t="s">
        <v>1332</v>
      </c>
    </row>
    <row r="1089" spans="1:95" ht="21.5" hidden="1" thickBot="1" x14ac:dyDescent="0.3">
      <c r="A1089" s="163" t="s">
        <v>1351</v>
      </c>
      <c r="B1089" s="177">
        <v>720</v>
      </c>
      <c r="C1089" s="178" t="s">
        <v>1355</v>
      </c>
      <c r="D1089" s="179"/>
      <c r="E1089" s="180"/>
      <c r="F1089" s="181" t="s">
        <v>1332</v>
      </c>
    </row>
    <row r="1090" spans="1:95" x14ac:dyDescent="0.25">
      <c r="A1090" s="5"/>
      <c r="C1090" s="183"/>
      <c r="D1090" s="199"/>
      <c r="E1090" s="199"/>
      <c r="F1090" s="199"/>
    </row>
    <row r="1091" spans="1:95" x14ac:dyDescent="0.25">
      <c r="A1091" s="184" t="s">
        <v>1356</v>
      </c>
      <c r="D1091" s="65"/>
      <c r="E1091" s="65"/>
    </row>
    <row r="1092" spans="1:95" x14ac:dyDescent="0.25">
      <c r="A1092" s="5" t="s">
        <v>1357</v>
      </c>
      <c r="C1092"/>
    </row>
    <row r="1093" spans="1:95" x14ac:dyDescent="0.25">
      <c r="A1093" s="5"/>
      <c r="C1093" s="183"/>
      <c r="D1093" s="199"/>
      <c r="E1093" s="199"/>
      <c r="F1093" s="199"/>
    </row>
    <row r="1094" spans="1:95" x14ac:dyDescent="0.25">
      <c r="A1094" s="185" t="s">
        <v>1358</v>
      </c>
      <c r="C1094" s="186"/>
    </row>
    <row r="1095" spans="1:95" s="182" customFormat="1" x14ac:dyDescent="0.25">
      <c r="A1095" s="185" t="s">
        <v>1359</v>
      </c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</row>
    <row r="1096" spans="1:95" x14ac:dyDescent="0.25">
      <c r="A1096" s="4"/>
      <c r="C1096" s="183"/>
      <c r="D1096" s="199"/>
      <c r="E1096" s="199"/>
      <c r="F1096" s="199"/>
    </row>
    <row r="1097" spans="1:95" x14ac:dyDescent="0.25">
      <c r="A1097" s="185" t="s">
        <v>1360</v>
      </c>
    </row>
    <row r="1098" spans="1:95" x14ac:dyDescent="0.25">
      <c r="A1098" s="5" t="s">
        <v>1361</v>
      </c>
    </row>
    <row r="1099" spans="1:95" x14ac:dyDescent="0.25">
      <c r="A1099" s="5"/>
    </row>
    <row r="1100" spans="1:95" x14ac:dyDescent="0.25">
      <c r="A1100" s="187" t="s">
        <v>1362</v>
      </c>
    </row>
    <row r="1103" spans="1:95" s="182" customFormat="1" x14ac:dyDescent="0.25">
      <c r="A1103" s="188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</row>
  </sheetData>
  <autoFilter ref="A210:CQ1053" xr:uid="{E3CD73EA-A69B-40A7-B450-B7606F540E05}"/>
  <mergeCells count="21">
    <mergeCell ref="D1090:F1090"/>
    <mergeCell ref="D1093:F1093"/>
    <mergeCell ref="D1096:F1096"/>
    <mergeCell ref="E11:E13"/>
    <mergeCell ref="F11:F13"/>
    <mergeCell ref="E207:E209"/>
    <mergeCell ref="F207:F209"/>
    <mergeCell ref="B205:C205"/>
    <mergeCell ref="A207:A209"/>
    <mergeCell ref="B207:B209"/>
    <mergeCell ref="C207:C209"/>
    <mergeCell ref="D207:D209"/>
    <mergeCell ref="A11:A13"/>
    <mergeCell ref="B11:B13"/>
    <mergeCell ref="C11:C13"/>
    <mergeCell ref="D11:D13"/>
    <mergeCell ref="B5:D5"/>
    <mergeCell ref="C6:D6"/>
    <mergeCell ref="B8:C8"/>
    <mergeCell ref="B9:C9"/>
    <mergeCell ref="B10:C10"/>
  </mergeCells>
  <pageMargins left="0.39370078740157483" right="0" top="0.39370078740157483" bottom="0.19685039370078741" header="0" footer="0"/>
  <pageSetup paperSize="9" scale="9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117(декабрь)</vt:lpstr>
      <vt:lpstr>'форма 117(декабрь)'!Заголовки_для_печати</vt:lpstr>
      <vt:lpstr>'форма 117(декабрь)'!Область_печати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Мацебурская Светлана Владиславовна</dc:creator>
  <cp:lastModifiedBy>Мацебурская Светлана Владиславовна</cp:lastModifiedBy>
  <dcterms:created xsi:type="dcterms:W3CDTF">2026-01-15T00:53:35Z</dcterms:created>
  <dcterms:modified xsi:type="dcterms:W3CDTF">2026-03-19T00:58:19Z</dcterms:modified>
</cp:coreProperties>
</file>