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Финансовый отдел\_Общие документы\2025 год\ОТЧЕТ по ф. 0503117 2025 год\"/>
    </mc:Choice>
  </mc:AlternateContent>
  <xr:revisionPtr revIDLastSave="0" documentId="13_ncr:1_{DB0D82D6-FD2D-4AF9-AE17-216CEBBD291E}" xr6:coauthVersionLast="47" xr6:coauthVersionMax="47" xr10:uidLastSave="{00000000-0000-0000-0000-000000000000}"/>
  <bookViews>
    <workbookView xWindow="-110" yWindow="-110" windowWidth="19420" windowHeight="10420" xr2:uid="{026E466C-704B-4A73-A718-BD25981B1BB3}"/>
  </bookViews>
  <sheets>
    <sheet name="форма 117(октябрь)" sheetId="1" r:id="rId1"/>
  </sheets>
  <externalReferences>
    <externalReference r:id="rId2"/>
    <externalReference r:id="rId3"/>
    <externalReference r:id="rId4"/>
  </externalReferences>
  <definedNames>
    <definedName name="__col1">#REF!</definedName>
    <definedName name="__col10">#REF!</definedName>
    <definedName name="__col11">#REF!</definedName>
    <definedName name="__col12">#REF!</definedName>
    <definedName name="__col13">#REF!</definedName>
    <definedName name="__col14">#REF!</definedName>
    <definedName name="__col15">#REF!</definedName>
    <definedName name="__col16">#REF!</definedName>
    <definedName name="__col17">#REF!</definedName>
    <definedName name="__col18">#REF!</definedName>
    <definedName name="__col19">#REF!</definedName>
    <definedName name="__col2">#REF!</definedName>
    <definedName name="__col20">#REF!</definedName>
    <definedName name="__col21">#REF!</definedName>
    <definedName name="__col22">#REF!</definedName>
    <definedName name="__col23">#REF!</definedName>
    <definedName name="__col24">#REF!</definedName>
    <definedName name="__col25">#REF!</definedName>
    <definedName name="__col26">#REF!</definedName>
    <definedName name="__col27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col9">#REF!</definedName>
    <definedName name="__End1">#REF!</definedName>
    <definedName name="__End10">#REF!</definedName>
    <definedName name="__End2">#REF!</definedName>
    <definedName name="__End3">#REF!</definedName>
    <definedName name="__End4">#REF!</definedName>
    <definedName name="__End5">#REF!</definedName>
    <definedName name="__End6">#REF!</definedName>
    <definedName name="__End7">#REF!</definedName>
    <definedName name="__End8">#REF!</definedName>
    <definedName name="__End9">#REF!</definedName>
    <definedName name="_col1" localSheetId="0">#REF!</definedName>
    <definedName name="_col10" localSheetId="0">#REF!</definedName>
    <definedName name="_col11" localSheetId="0">#REF!</definedName>
    <definedName name="_col12" localSheetId="0">#REF!</definedName>
    <definedName name="_col13" localSheetId="0">#REF!</definedName>
    <definedName name="_col14" localSheetId="0">#REF!</definedName>
    <definedName name="_col15" localSheetId="0">#REF!</definedName>
    <definedName name="_col16" localSheetId="0">#REF!</definedName>
    <definedName name="_col17" localSheetId="0">#REF!</definedName>
    <definedName name="_col18" localSheetId="0">#REF!</definedName>
    <definedName name="_col19" localSheetId="0">#REF!</definedName>
    <definedName name="_col2" localSheetId="0">#REF!</definedName>
    <definedName name="_col20" localSheetId="0">#REF!</definedName>
    <definedName name="_col21" localSheetId="0">#REF!</definedName>
    <definedName name="_col22" localSheetId="0">#REF!</definedName>
    <definedName name="_col23" localSheetId="0">#REF!</definedName>
    <definedName name="_col24" localSheetId="0">#REF!</definedName>
    <definedName name="_col25" localSheetId="0">#REF!</definedName>
    <definedName name="_col26" localSheetId="0">#REF!</definedName>
    <definedName name="_col27" localSheetId="0">#REF!</definedName>
    <definedName name="_col3" localSheetId="0">#REF!</definedName>
    <definedName name="_col4" localSheetId="0">#REF!</definedName>
    <definedName name="_col5" localSheetId="0">#REF!</definedName>
    <definedName name="_col6" localSheetId="0">#REF!</definedName>
    <definedName name="_col7" localSheetId="0">#REF!</definedName>
    <definedName name="_col8" localSheetId="0">#REF!</definedName>
    <definedName name="_col9" localSheetId="0">#REF!</definedName>
    <definedName name="_End1" localSheetId="0">#REF!</definedName>
    <definedName name="_End10" localSheetId="0">#REF!</definedName>
    <definedName name="_End2" localSheetId="0">#REF!</definedName>
    <definedName name="_End3" localSheetId="0">#REF!</definedName>
    <definedName name="_End4" localSheetId="0">#REF!</definedName>
    <definedName name="_End5" localSheetId="0">#REF!</definedName>
    <definedName name="_End6" localSheetId="0">#REF!</definedName>
    <definedName name="_End7" localSheetId="0">#REF!</definedName>
    <definedName name="_End8" localSheetId="0">#REF!</definedName>
    <definedName name="_End9" localSheetId="0">#REF!</definedName>
    <definedName name="_Otchet_Period_Source__AT_ObjectName">#REF!</definedName>
    <definedName name="_Period_">#REF!</definedName>
    <definedName name="_PIsp_">#REF!</definedName>
    <definedName name="_PRuk_">#REF!</definedName>
    <definedName name="_xlnm._FilterDatabase" localSheetId="0" hidden="1">'форма 117(октябрь)'!$A$208:$CQ$1047</definedName>
    <definedName name="ajhvf117">#REF!</definedName>
    <definedName name="budg_name" localSheetId="0">#REF!</definedName>
    <definedName name="budg_name">#REF!</definedName>
    <definedName name="cb_address" localSheetId="0">#REF!</definedName>
    <definedName name="cb_address">#REF!</definedName>
    <definedName name="cb_inn" localSheetId="0">#REF!</definedName>
    <definedName name="cb_inn">#REF!</definedName>
    <definedName name="cb_kpp" localSheetId="0">#REF!</definedName>
    <definedName name="cb_kpp">#REF!</definedName>
    <definedName name="cb_name" localSheetId="0">#REF!</definedName>
    <definedName name="cb_name">#REF!</definedName>
    <definedName name="cb_ogrn" localSheetId="0">#REF!</definedName>
    <definedName name="cb_ogrn">#REF!</definedName>
    <definedName name="chief" localSheetId="0">#REF!</definedName>
    <definedName name="chief">#REF!</definedName>
    <definedName name="chief_div" localSheetId="0">#REF!</definedName>
    <definedName name="chief_div">#REF!</definedName>
    <definedName name="chief_fin" localSheetId="0">#REF!</definedName>
    <definedName name="chief_fin">#REF!</definedName>
    <definedName name="chief_OUR" localSheetId="0">#REF!</definedName>
    <definedName name="chief_OUR">#REF!</definedName>
    <definedName name="chief_post" localSheetId="0">#REF!</definedName>
    <definedName name="chief_post">#REF!</definedName>
    <definedName name="CHIEF_POST_OUR" localSheetId="0">#REF!</definedName>
    <definedName name="CHIEF_POST_OUR">#REF!</definedName>
    <definedName name="chief_soc_fio" localSheetId="0">#REF!</definedName>
    <definedName name="chief_soc_fio">#REF!</definedName>
    <definedName name="chief_soc_post" localSheetId="0">#REF!</definedName>
    <definedName name="chief_soc_post">#REF!</definedName>
    <definedName name="code" localSheetId="0">#REF!</definedName>
    <definedName name="code">#REF!</definedName>
    <definedName name="colatr">#REF!</definedName>
    <definedName name="colitog">#REF!</definedName>
    <definedName name="colnn10" localSheetId="0">#REF!</definedName>
    <definedName name="colnn10">#REF!</definedName>
    <definedName name="colnn11" localSheetId="0">#REF!</definedName>
    <definedName name="colnn11">#REF!</definedName>
    <definedName name="colnn12" localSheetId="0">#REF!</definedName>
    <definedName name="colnn12">#REF!</definedName>
    <definedName name="colnn13" localSheetId="0">#REF!</definedName>
    <definedName name="colnn13">#REF!</definedName>
    <definedName name="colnn14" localSheetId="0">#REF!</definedName>
    <definedName name="colnn14">#REF!</definedName>
    <definedName name="colnn15" localSheetId="0">#REF!</definedName>
    <definedName name="colnn15">#REF!</definedName>
    <definedName name="colnn16" localSheetId="0">#REF!</definedName>
    <definedName name="colnn16">#REF!</definedName>
    <definedName name="colnn17" localSheetId="0">#REF!</definedName>
    <definedName name="colnn17">#REF!</definedName>
    <definedName name="colnn18" localSheetId="0">#REF!</definedName>
    <definedName name="colnn18">#REF!</definedName>
    <definedName name="colnn19" localSheetId="0">#REF!</definedName>
    <definedName name="colnn19">#REF!</definedName>
    <definedName name="colnn20" localSheetId="0">#REF!</definedName>
    <definedName name="colnn20">#REF!</definedName>
    <definedName name="colnn21" localSheetId="0">#REF!</definedName>
    <definedName name="colnn21">#REF!</definedName>
    <definedName name="colnn22" localSheetId="0">#REF!</definedName>
    <definedName name="colnn22">#REF!</definedName>
    <definedName name="colnn23" localSheetId="0">#REF!</definedName>
    <definedName name="colnn23">#REF!</definedName>
    <definedName name="colnn24" localSheetId="0">#REF!</definedName>
    <definedName name="colnn24">#REF!</definedName>
    <definedName name="colnn25" localSheetId="0">#REF!</definedName>
    <definedName name="colnn25">#REF!</definedName>
    <definedName name="colnn26" localSheetId="0">#REF!</definedName>
    <definedName name="colnn26">#REF!</definedName>
    <definedName name="colnn27" localSheetId="0">#REF!</definedName>
    <definedName name="colnn27">#REF!</definedName>
    <definedName name="colnn4" localSheetId="0">#REF!</definedName>
    <definedName name="colnn4">#REF!</definedName>
    <definedName name="colnn5" localSheetId="0">#REF!</definedName>
    <definedName name="colnn5">#REF!</definedName>
    <definedName name="colnn6" localSheetId="0">#REF!</definedName>
    <definedName name="colnn6">#REF!</definedName>
    <definedName name="colnn7" localSheetId="0">#REF!</definedName>
    <definedName name="colnn7">#REF!</definedName>
    <definedName name="colnn8" localSheetId="0">#REF!</definedName>
    <definedName name="colnn8">#REF!</definedName>
    <definedName name="colnn9" localSheetId="0">#REF!</definedName>
    <definedName name="colnn9">#REF!</definedName>
    <definedName name="CurentGroup" localSheetId="0">#REF!</definedName>
    <definedName name="CurentGroup">#REF!</definedName>
    <definedName name="CURR_USER" localSheetId="0">#REF!</definedName>
    <definedName name="CURR_USER">#REF!</definedName>
    <definedName name="CurRow" localSheetId="0">#REF!</definedName>
    <definedName name="CurRow">#REF!</definedName>
    <definedName name="cyear1" localSheetId="0">#REF!</definedName>
    <definedName name="cyear1">#REF!</definedName>
    <definedName name="Data" localSheetId="0">#REF!</definedName>
    <definedName name="Data">#REF!</definedName>
    <definedName name="DataFields" localSheetId="0">#REF!</definedName>
    <definedName name="DataFields">#REF!</definedName>
    <definedName name="date_BEG" localSheetId="0">#REF!</definedName>
    <definedName name="date_BEG">#REF!</definedName>
    <definedName name="date_END" localSheetId="0">#REF!</definedName>
    <definedName name="date_END">#REF!</definedName>
    <definedName name="del" localSheetId="0">#REF!</definedName>
    <definedName name="del">#REF!</definedName>
    <definedName name="dep_full_name" localSheetId="0">#REF!</definedName>
    <definedName name="dep_full_name">#REF!</definedName>
    <definedName name="dep_link" localSheetId="0">#REF!</definedName>
    <definedName name="dep_link">#REF!</definedName>
    <definedName name="dep_name1" localSheetId="0">#REF!</definedName>
    <definedName name="dep_name1">#REF!</definedName>
    <definedName name="doc_date" localSheetId="0">#REF!</definedName>
    <definedName name="doc_date">#REF!</definedName>
    <definedName name="doc_num" localSheetId="0">#REF!</definedName>
    <definedName name="doc_num">#REF!</definedName>
    <definedName name="doc_quarter" localSheetId="0">#REF!</definedName>
    <definedName name="doc_quarter">#REF!</definedName>
    <definedName name="EndRow" localSheetId="0">#REF!</definedName>
    <definedName name="EndRow">#REF!</definedName>
    <definedName name="glbuh" localSheetId="0">#REF!</definedName>
    <definedName name="glbuh">#REF!</definedName>
    <definedName name="GLBUH_OUR" localSheetId="0">#REF!</definedName>
    <definedName name="GLBUH_OUR">#REF!</definedName>
    <definedName name="GroupOrder" localSheetId="0">#REF!</definedName>
    <definedName name="GroupOrder">#REF!</definedName>
    <definedName name="HEAD" localSheetId="0">#REF!</definedName>
    <definedName name="HEAD">#REF!</definedName>
    <definedName name="isp" localSheetId="0">#REF!</definedName>
    <definedName name="isp">#REF!</definedName>
    <definedName name="isp_post" localSheetId="0">#REF!</definedName>
    <definedName name="isp_post">#REF!</definedName>
    <definedName name="isp_tel" localSheetId="0">#REF!</definedName>
    <definedName name="isp_tel">#REF!</definedName>
    <definedName name="longname" localSheetId="0">#REF!</definedName>
    <definedName name="longname">#REF!</definedName>
    <definedName name="LONGNAME_OUR" localSheetId="0">#REF!</definedName>
    <definedName name="LONGNAME_OUR">#REF!</definedName>
    <definedName name="notnullcol" localSheetId="0">#REF!</definedName>
    <definedName name="notnullcol">#REF!</definedName>
    <definedName name="okato" localSheetId="0">#REF!</definedName>
    <definedName name="okato">#REF!</definedName>
    <definedName name="okato1" localSheetId="0">#REF!</definedName>
    <definedName name="okato1">#REF!</definedName>
    <definedName name="okato2" localSheetId="0">#REF!</definedName>
    <definedName name="okato2">#REF!</definedName>
    <definedName name="okpo" localSheetId="0">#REF!</definedName>
    <definedName name="okpo">#REF!</definedName>
    <definedName name="OKPO_OUR" localSheetId="0">#REF!</definedName>
    <definedName name="OKPO_OUR">#REF!</definedName>
    <definedName name="okved" localSheetId="0">#REF!</definedName>
    <definedName name="okved">#REF!</definedName>
    <definedName name="okved1" localSheetId="0">#REF!</definedName>
    <definedName name="okved1">#REF!</definedName>
    <definedName name="orders" localSheetId="0">#REF!</definedName>
    <definedName name="orders">#REF!</definedName>
    <definedName name="orgname" localSheetId="0">#REF!</definedName>
    <definedName name="orgname">#REF!</definedName>
    <definedName name="ORGNAME_OUR" localSheetId="0">#REF!</definedName>
    <definedName name="ORGNAME_OUR">#REF!</definedName>
    <definedName name="performer_fio" localSheetId="0">#REF!</definedName>
    <definedName name="performer_fio">#REF!</definedName>
    <definedName name="performer_phone" localSheetId="0">#REF!</definedName>
    <definedName name="performer_phone">#REF!</definedName>
    <definedName name="performer_post" localSheetId="0">#REF!</definedName>
    <definedName name="performer_post">#REF!</definedName>
    <definedName name="performer_soc_fio" localSheetId="0">#REF!</definedName>
    <definedName name="performer_soc_fio">#REF!</definedName>
    <definedName name="performer_soc_phone" localSheetId="0">#REF!</definedName>
    <definedName name="performer_soc_phone">#REF!</definedName>
    <definedName name="performer_soc_post" localSheetId="0">#REF!</definedName>
    <definedName name="performer_soc_post">#REF!</definedName>
    <definedName name="PERIOD_WORK" localSheetId="0">#REF!</definedName>
    <definedName name="PERIOD_WORK">#REF!</definedName>
    <definedName name="PPP_CODE" localSheetId="0">#REF!</definedName>
    <definedName name="PPP_CODE">#REF!</definedName>
    <definedName name="PPP_CODE1" localSheetId="0">#REF!</definedName>
    <definedName name="PPP_CODE1">#REF!</definedName>
    <definedName name="PPP_NAME" localSheetId="0">#REF!</definedName>
    <definedName name="PPP_NAME">#REF!</definedName>
    <definedName name="region" localSheetId="0">#REF!</definedName>
    <definedName name="region">#REF!</definedName>
    <definedName name="REGION_OUR" localSheetId="0">#REF!</definedName>
    <definedName name="REGION_OUR">#REF!</definedName>
    <definedName name="REM_SONO" localSheetId="0">#REF!</definedName>
    <definedName name="REM_SONO">#REF!</definedName>
    <definedName name="rem_year" localSheetId="0">#REF!</definedName>
    <definedName name="rem_year">#REF!</definedName>
    <definedName name="replace_zero" localSheetId="0">#REF!</definedName>
    <definedName name="replace_zero">#REF!</definedName>
    <definedName name="reports_atr_acc_2011">#REF!</definedName>
    <definedName name="reports_atr_prp">#REF!</definedName>
    <definedName name="reports_filter_kbk">#REF!</definedName>
    <definedName name="sono" localSheetId="0">#REF!</definedName>
    <definedName name="sono">#REF!</definedName>
    <definedName name="SONO_OUR" localSheetId="0">#REF!</definedName>
    <definedName name="SONO_OUR">#REF!</definedName>
    <definedName name="Start1" localSheetId="0">#REF!</definedName>
    <definedName name="Start1">#REF!</definedName>
    <definedName name="Start10" localSheetId="0">#REF!</definedName>
    <definedName name="Start10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4" localSheetId="0">#REF!</definedName>
    <definedName name="Start4">#REF!</definedName>
    <definedName name="Start5" localSheetId="0">#REF!</definedName>
    <definedName name="Start5">#REF!</definedName>
    <definedName name="Start6" localSheetId="0">#REF!</definedName>
    <definedName name="Start6">#REF!</definedName>
    <definedName name="Start7" localSheetId="0">#REF!</definedName>
    <definedName name="Start7">#REF!</definedName>
    <definedName name="Start8" localSheetId="0">#REF!</definedName>
    <definedName name="Start8">#REF!</definedName>
    <definedName name="Start9" localSheetId="0">#REF!</definedName>
    <definedName name="Start9">#REF!</definedName>
    <definedName name="StartData" localSheetId="0">#REF!</definedName>
    <definedName name="StartData">#REF!</definedName>
    <definedName name="StartRow" localSheetId="0">#REF!</definedName>
    <definedName name="StartRow">#REF!</definedName>
    <definedName name="TOWN" localSheetId="0">#REF!</definedName>
    <definedName name="TOWN">#REF!</definedName>
    <definedName name="ul_fio" localSheetId="0">#REF!</definedName>
    <definedName name="ul_fio">#REF!</definedName>
    <definedName name="ul_post" localSheetId="0">#REF!</definedName>
    <definedName name="ul_post">#REF!</definedName>
    <definedName name="USER_POST" localSheetId="0">#REF!</definedName>
    <definedName name="USER_POST">#REF!</definedName>
    <definedName name="ved" localSheetId="0">#REF!</definedName>
    <definedName name="ved">#REF!</definedName>
    <definedName name="ved_name" localSheetId="0">#REF!</definedName>
    <definedName name="ved_name">#REF!</definedName>
    <definedName name="web" localSheetId="0">#REF!</definedName>
    <definedName name="web">#REF!</definedName>
    <definedName name="wrn.7._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_.вариантов." hidden="1">{#N/A,#N/A,FALSE,"Лист2";#N/A,#N/A,FALSE,"Лист2 (2)";#N/A,#N/A,FALSE,"фот данные ТН";#N/A,#N/A,FALSE,"численность ТН";#N/A,#N/A,FALSE,"самый последний"}</definedName>
    <definedName name="wrn.7.2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2.вариантов." hidden="1">{#N/A,#N/A,FALSE,"Лист2";#N/A,#N/A,FALSE,"Лист2 (2)";#N/A,#N/A,FALSE,"фот данные ТН";#N/A,#N/A,FALSE,"численность ТН";#N/A,#N/A,FALSE,"самый последний"}</definedName>
    <definedName name="_xlnm.Print_Titles" localSheetId="0">'форма 117(октябрь)'!$14:$14</definedName>
    <definedName name="_xlnm.Print_Area" localSheetId="0">'форма 117(октябрь)'!$A$1:$F$1094</definedName>
    <definedName name="прогноз2001" localSheetId="0" hidden="1">{#N/A,#N/A,FALSE,"Лист2";#N/A,#N/A,FALSE,"Лист2 (2)";#N/A,#N/A,FALSE,"фот данные ТН";#N/A,#N/A,FALSE,"численность ТН";#N/A,#N/A,FALSE,"самый последний"}</definedName>
    <definedName name="прогноз2001" hidden="1">{#N/A,#N/A,FALSE,"Лист2";#N/A,#N/A,FALSE,"Лист2 (2)";#N/A,#N/A,FALSE,"фот данные ТН";#N/A,#N/A,FALSE,"численность ТН";#N/A,#N/A,FALSE,"самый последний"}</definedName>
    <definedName name="ф117декабр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2" i="1" l="1"/>
  <c r="E1081" i="1" s="1"/>
  <c r="D1082" i="1"/>
  <c r="D1081" i="1" s="1"/>
  <c r="D1067" i="1" s="1"/>
  <c r="E1074" i="1"/>
  <c r="E1073" i="1"/>
  <c r="E1067" i="1" s="1"/>
  <c r="E1052" i="1"/>
  <c r="D1052" i="1"/>
  <c r="E1051" i="1"/>
  <c r="D1051" i="1"/>
  <c r="F1047" i="1"/>
  <c r="F1046" i="1"/>
  <c r="E1046" i="1"/>
  <c r="E1045" i="1" s="1"/>
  <c r="E1044" i="1" s="1"/>
  <c r="D1046" i="1"/>
  <c r="D1045" i="1" s="1"/>
  <c r="F1045" i="1" s="1"/>
  <c r="F1044" i="1"/>
  <c r="D1044" i="1"/>
  <c r="D1043" i="1" s="1"/>
  <c r="E1043" i="1"/>
  <c r="E1042" i="1" s="1"/>
  <c r="D1042" i="1"/>
  <c r="E1041" i="1"/>
  <c r="F1040" i="1"/>
  <c r="E1039" i="1"/>
  <c r="F1039" i="1" s="1"/>
  <c r="D1039" i="1"/>
  <c r="F1038" i="1"/>
  <c r="E1037" i="1"/>
  <c r="E1036" i="1" s="1"/>
  <c r="D1037" i="1"/>
  <c r="D1036" i="1" s="1"/>
  <c r="D1032" i="1" s="1"/>
  <c r="F1035" i="1"/>
  <c r="F1034" i="1"/>
  <c r="E1034" i="1"/>
  <c r="D1034" i="1"/>
  <c r="D1033" i="1" s="1"/>
  <c r="E1033" i="1"/>
  <c r="F1028" i="1"/>
  <c r="E1027" i="1"/>
  <c r="D1027" i="1"/>
  <c r="D1026" i="1"/>
  <c r="F1024" i="1"/>
  <c r="E1023" i="1"/>
  <c r="D1023" i="1"/>
  <c r="F1023" i="1" s="1"/>
  <c r="F1022" i="1"/>
  <c r="E1022" i="1"/>
  <c r="D1022" i="1"/>
  <c r="D1021" i="1" s="1"/>
  <c r="E1021" i="1"/>
  <c r="E1019" i="1"/>
  <c r="D1019" i="1"/>
  <c r="E1018" i="1"/>
  <c r="E1017" i="1" s="1"/>
  <c r="E1016" i="1"/>
  <c r="F1015" i="1"/>
  <c r="E1014" i="1"/>
  <c r="D1014" i="1"/>
  <c r="D1013" i="1"/>
  <c r="F1009" i="1"/>
  <c r="E1008" i="1"/>
  <c r="D1008" i="1"/>
  <c r="D1007" i="1"/>
  <c r="F1002" i="1"/>
  <c r="E1001" i="1"/>
  <c r="D1001" i="1"/>
  <c r="E1000" i="1"/>
  <c r="E999" i="1" s="1"/>
  <c r="F998" i="1"/>
  <c r="F997" i="1"/>
  <c r="E997" i="1"/>
  <c r="D997" i="1"/>
  <c r="F996" i="1"/>
  <c r="F995" i="1"/>
  <c r="E995" i="1"/>
  <c r="D995" i="1"/>
  <c r="E994" i="1"/>
  <c r="E993" i="1" s="1"/>
  <c r="E992" i="1" s="1"/>
  <c r="E991" i="1" s="1"/>
  <c r="D994" i="1"/>
  <c r="F994" i="1" s="1"/>
  <c r="D993" i="1"/>
  <c r="D992" i="1" s="1"/>
  <c r="E990" i="1"/>
  <c r="D989" i="1"/>
  <c r="D988" i="1"/>
  <c r="F986" i="1"/>
  <c r="E985" i="1"/>
  <c r="E984" i="1" s="1"/>
  <c r="E983" i="1" s="1"/>
  <c r="D985" i="1"/>
  <c r="F985" i="1" s="1"/>
  <c r="D984" i="1"/>
  <c r="D983" i="1" s="1"/>
  <c r="F983" i="1" s="1"/>
  <c r="D981" i="1"/>
  <c r="F977" i="1"/>
  <c r="E976" i="1"/>
  <c r="D976" i="1"/>
  <c r="F976" i="1" s="1"/>
  <c r="F975" i="1"/>
  <c r="E975" i="1"/>
  <c r="D975" i="1"/>
  <c r="D974" i="1" s="1"/>
  <c r="F974" i="1" s="1"/>
  <c r="E974" i="1"/>
  <c r="F970" i="1"/>
  <c r="F969" i="1"/>
  <c r="E969" i="1"/>
  <c r="D969" i="1"/>
  <c r="D968" i="1" s="1"/>
  <c r="F968" i="1" s="1"/>
  <c r="E968" i="1"/>
  <c r="E967" i="1" s="1"/>
  <c r="F966" i="1"/>
  <c r="F965" i="1"/>
  <c r="E964" i="1"/>
  <c r="E963" i="1" s="1"/>
  <c r="E962" i="1" s="1"/>
  <c r="D964" i="1"/>
  <c r="D963" i="1"/>
  <c r="F961" i="1"/>
  <c r="E960" i="1"/>
  <c r="D960" i="1"/>
  <c r="F960" i="1" s="1"/>
  <c r="E959" i="1"/>
  <c r="D959" i="1"/>
  <c r="D958" i="1" s="1"/>
  <c r="E958" i="1"/>
  <c r="F957" i="1"/>
  <c r="E956" i="1"/>
  <c r="E955" i="1" s="1"/>
  <c r="E954" i="1" s="1"/>
  <c r="D956" i="1"/>
  <c r="F956" i="1" s="1"/>
  <c r="F955" i="1"/>
  <c r="D955" i="1"/>
  <c r="D954" i="1" s="1"/>
  <c r="F954" i="1" s="1"/>
  <c r="E952" i="1"/>
  <c r="D951" i="1"/>
  <c r="D950" i="1"/>
  <c r="D949" i="1" s="1"/>
  <c r="F948" i="1"/>
  <c r="E948" i="1"/>
  <c r="F947" i="1"/>
  <c r="E947" i="1"/>
  <c r="D947" i="1"/>
  <c r="D946" i="1" s="1"/>
  <c r="F946" i="1" s="1"/>
  <c r="E946" i="1"/>
  <c r="E945" i="1" s="1"/>
  <c r="E943" i="1"/>
  <c r="D943" i="1"/>
  <c r="D942" i="1"/>
  <c r="D941" i="1"/>
  <c r="D940" i="1"/>
  <c r="F939" i="1"/>
  <c r="E938" i="1"/>
  <c r="D938" i="1"/>
  <c r="E937" i="1"/>
  <c r="E936" i="1" s="1"/>
  <c r="F935" i="1"/>
  <c r="E934" i="1"/>
  <c r="D934" i="1"/>
  <c r="E933" i="1"/>
  <c r="E932" i="1" s="1"/>
  <c r="E930" i="1"/>
  <c r="D930" i="1"/>
  <c r="D929" i="1"/>
  <c r="D928" i="1"/>
  <c r="D927" i="1"/>
  <c r="D926" i="1"/>
  <c r="F926" i="1" s="1"/>
  <c r="E925" i="1"/>
  <c r="E924" i="1" s="1"/>
  <c r="E923" i="1" s="1"/>
  <c r="F922" i="1"/>
  <c r="F921" i="1"/>
  <c r="E920" i="1"/>
  <c r="E919" i="1" s="1"/>
  <c r="D920" i="1"/>
  <c r="D919" i="1" s="1"/>
  <c r="F919" i="1" s="1"/>
  <c r="F918" i="1"/>
  <c r="E917" i="1"/>
  <c r="E916" i="1" s="1"/>
  <c r="F916" i="1" s="1"/>
  <c r="D917" i="1"/>
  <c r="D916" i="1" s="1"/>
  <c r="E915" i="1"/>
  <c r="F914" i="1"/>
  <c r="E913" i="1"/>
  <c r="D913" i="1"/>
  <c r="D912" i="1"/>
  <c r="F910" i="1"/>
  <c r="E910" i="1"/>
  <c r="D910" i="1"/>
  <c r="E909" i="1"/>
  <c r="E908" i="1" s="1"/>
  <c r="E907" i="1" s="1"/>
  <c r="D909" i="1"/>
  <c r="F909" i="1" s="1"/>
  <c r="D908" i="1"/>
  <c r="F906" i="1"/>
  <c r="E906" i="1"/>
  <c r="D906" i="1"/>
  <c r="E905" i="1"/>
  <c r="E904" i="1" s="1"/>
  <c r="E903" i="1" s="1"/>
  <c r="E901" i="1"/>
  <c r="E900" i="1"/>
  <c r="E899" i="1" s="1"/>
  <c r="E898" i="1" s="1"/>
  <c r="F897" i="1"/>
  <c r="E896" i="1"/>
  <c r="D896" i="1"/>
  <c r="F896" i="1" s="1"/>
  <c r="F895" i="1"/>
  <c r="E895" i="1"/>
  <c r="D895" i="1"/>
  <c r="D894" i="1" s="1"/>
  <c r="F894" i="1" s="1"/>
  <c r="E894" i="1"/>
  <c r="F892" i="1"/>
  <c r="E891" i="1"/>
  <c r="D891" i="1"/>
  <c r="E890" i="1"/>
  <c r="E889" i="1" s="1"/>
  <c r="E888" i="1" s="1"/>
  <c r="F887" i="1"/>
  <c r="E886" i="1"/>
  <c r="E885" i="1" s="1"/>
  <c r="E884" i="1" s="1"/>
  <c r="D886" i="1"/>
  <c r="D885" i="1"/>
  <c r="F883" i="1"/>
  <c r="E882" i="1"/>
  <c r="F882" i="1" s="1"/>
  <c r="D882" i="1"/>
  <c r="D881" i="1"/>
  <c r="F879" i="1"/>
  <c r="E878" i="1"/>
  <c r="E877" i="1" s="1"/>
  <c r="E876" i="1" s="1"/>
  <c r="D878" i="1"/>
  <c r="F878" i="1" s="1"/>
  <c r="D877" i="1"/>
  <c r="D876" i="1" s="1"/>
  <c r="F875" i="1"/>
  <c r="E874" i="1"/>
  <c r="D874" i="1"/>
  <c r="D873" i="1"/>
  <c r="D872" i="1" s="1"/>
  <c r="F871" i="1"/>
  <c r="E870" i="1"/>
  <c r="E869" i="1" s="1"/>
  <c r="D870" i="1"/>
  <c r="F870" i="1" s="1"/>
  <c r="D869" i="1"/>
  <c r="E868" i="1"/>
  <c r="F866" i="1"/>
  <c r="F865" i="1"/>
  <c r="E865" i="1"/>
  <c r="D865" i="1"/>
  <c r="D864" i="1" s="1"/>
  <c r="E864" i="1"/>
  <c r="E863" i="1" s="1"/>
  <c r="D863" i="1"/>
  <c r="F863" i="1" s="1"/>
  <c r="F862" i="1"/>
  <c r="E861" i="1"/>
  <c r="D861" i="1"/>
  <c r="E860" i="1"/>
  <c r="E859" i="1" s="1"/>
  <c r="E858" i="1"/>
  <c r="F856" i="1"/>
  <c r="F855" i="1"/>
  <c r="E855" i="1"/>
  <c r="D855" i="1"/>
  <c r="D854" i="1" s="1"/>
  <c r="F854" i="1" s="1"/>
  <c r="E854" i="1"/>
  <c r="E853" i="1"/>
  <c r="F852" i="1"/>
  <c r="F851" i="1"/>
  <c r="E851" i="1"/>
  <c r="D851" i="1"/>
  <c r="E850" i="1"/>
  <c r="E849" i="1" s="1"/>
  <c r="D850" i="1"/>
  <c r="F850" i="1" s="1"/>
  <c r="F849" i="1"/>
  <c r="D849" i="1"/>
  <c r="F848" i="1"/>
  <c r="E847" i="1"/>
  <c r="D847" i="1"/>
  <c r="E846" i="1"/>
  <c r="E845" i="1" s="1"/>
  <c r="E844" i="1" s="1"/>
  <c r="F843" i="1"/>
  <c r="E842" i="1"/>
  <c r="E841" i="1" s="1"/>
  <c r="D842" i="1"/>
  <c r="F842" i="1" s="1"/>
  <c r="D841" i="1"/>
  <c r="E840" i="1"/>
  <c r="E839" i="1" s="1"/>
  <c r="F838" i="1"/>
  <c r="E837" i="1"/>
  <c r="D837" i="1"/>
  <c r="D836" i="1" s="1"/>
  <c r="E836" i="1"/>
  <c r="E835" i="1" s="1"/>
  <c r="D835" i="1"/>
  <c r="F834" i="1"/>
  <c r="F833" i="1"/>
  <c r="E833" i="1"/>
  <c r="D833" i="1"/>
  <c r="D832" i="1" s="1"/>
  <c r="F832" i="1" s="1"/>
  <c r="E832" i="1"/>
  <c r="E831" i="1" s="1"/>
  <c r="D831" i="1"/>
  <c r="F831" i="1" s="1"/>
  <c r="E829" i="1"/>
  <c r="E828" i="1" s="1"/>
  <c r="E827" i="1" s="1"/>
  <c r="E826" i="1" s="1"/>
  <c r="D829" i="1"/>
  <c r="F829" i="1" s="1"/>
  <c r="D828" i="1"/>
  <c r="F825" i="1"/>
  <c r="E824" i="1"/>
  <c r="D824" i="1"/>
  <c r="D823" i="1" s="1"/>
  <c r="D822" i="1" s="1"/>
  <c r="E823" i="1"/>
  <c r="E822" i="1" s="1"/>
  <c r="F820" i="1"/>
  <c r="D820" i="1"/>
  <c r="E819" i="1"/>
  <c r="D819" i="1"/>
  <c r="E818" i="1"/>
  <c r="E817" i="1" s="1"/>
  <c r="D816" i="1"/>
  <c r="E815" i="1"/>
  <c r="E814" i="1" s="1"/>
  <c r="E813" i="1"/>
  <c r="E812" i="1" s="1"/>
  <c r="F811" i="1"/>
  <c r="E810" i="1"/>
  <c r="D810" i="1"/>
  <c r="E809" i="1"/>
  <c r="E808" i="1" s="1"/>
  <c r="F807" i="1"/>
  <c r="E806" i="1"/>
  <c r="D806" i="1"/>
  <c r="D805" i="1" s="1"/>
  <c r="D804" i="1" s="1"/>
  <c r="E805" i="1"/>
  <c r="E804" i="1" s="1"/>
  <c r="E803" i="1" s="1"/>
  <c r="F801" i="1"/>
  <c r="E800" i="1"/>
  <c r="D800" i="1"/>
  <c r="D799" i="1" s="1"/>
  <c r="D798" i="1" s="1"/>
  <c r="E799" i="1"/>
  <c r="E798" i="1" s="1"/>
  <c r="F797" i="1"/>
  <c r="E796" i="1"/>
  <c r="D796" i="1"/>
  <c r="D795" i="1" s="1"/>
  <c r="F795" i="1" s="1"/>
  <c r="E795" i="1"/>
  <c r="E794" i="1" s="1"/>
  <c r="D794" i="1"/>
  <c r="F794" i="1" s="1"/>
  <c r="F793" i="1"/>
  <c r="F792" i="1"/>
  <c r="E792" i="1"/>
  <c r="D792" i="1"/>
  <c r="D791" i="1" s="1"/>
  <c r="E791" i="1"/>
  <c r="E790" i="1" s="1"/>
  <c r="F789" i="1"/>
  <c r="E788" i="1"/>
  <c r="D788" i="1"/>
  <c r="E787" i="1"/>
  <c r="E786" i="1" s="1"/>
  <c r="F785" i="1"/>
  <c r="E784" i="1"/>
  <c r="D784" i="1"/>
  <c r="E783" i="1"/>
  <c r="E782" i="1" s="1"/>
  <c r="F781" i="1"/>
  <c r="F780" i="1"/>
  <c r="E780" i="1"/>
  <c r="D780" i="1"/>
  <c r="D779" i="1" s="1"/>
  <c r="F779" i="1" s="1"/>
  <c r="E779" i="1"/>
  <c r="E778" i="1" s="1"/>
  <c r="F777" i="1"/>
  <c r="F776" i="1"/>
  <c r="E776" i="1"/>
  <c r="D776" i="1"/>
  <c r="D775" i="1" s="1"/>
  <c r="E775" i="1"/>
  <c r="E774" i="1" s="1"/>
  <c r="E773" i="1" s="1"/>
  <c r="D774" i="1"/>
  <c r="E770" i="1"/>
  <c r="D770" i="1"/>
  <c r="E769" i="1"/>
  <c r="E768" i="1" s="1"/>
  <c r="E767" i="1"/>
  <c r="F766" i="1"/>
  <c r="E766" i="1"/>
  <c r="F765" i="1"/>
  <c r="E765" i="1"/>
  <c r="D765" i="1"/>
  <c r="E764" i="1"/>
  <c r="E763" i="1" s="1"/>
  <c r="D764" i="1"/>
  <c r="F763" i="1"/>
  <c r="D763" i="1"/>
  <c r="E761" i="1"/>
  <c r="E760" i="1" s="1"/>
  <c r="E759" i="1"/>
  <c r="E758" i="1" s="1"/>
  <c r="F757" i="1"/>
  <c r="F756" i="1"/>
  <c r="E756" i="1"/>
  <c r="D756" i="1"/>
  <c r="D755" i="1" s="1"/>
  <c r="F755" i="1" s="1"/>
  <c r="E755" i="1"/>
  <c r="E754" i="1" s="1"/>
  <c r="F754" i="1"/>
  <c r="D754" i="1"/>
  <c r="E753" i="1"/>
  <c r="F752" i="1"/>
  <c r="E752" i="1"/>
  <c r="E751" i="1"/>
  <c r="D751" i="1"/>
  <c r="D750" i="1" s="1"/>
  <c r="E750" i="1"/>
  <c r="E749" i="1" s="1"/>
  <c r="D749" i="1"/>
  <c r="E748" i="1"/>
  <c r="D748" i="1"/>
  <c r="D747" i="1"/>
  <c r="D746" i="1" s="1"/>
  <c r="D745" i="1"/>
  <c r="D743" i="1"/>
  <c r="D742" i="1"/>
  <c r="D741" i="1" s="1"/>
  <c r="D740" i="1" s="1"/>
  <c r="F739" i="1"/>
  <c r="E738" i="1"/>
  <c r="D738" i="1"/>
  <c r="D737" i="1" s="1"/>
  <c r="F737" i="1" s="1"/>
  <c r="E737" i="1"/>
  <c r="E736" i="1"/>
  <c r="F735" i="1"/>
  <c r="F734" i="1"/>
  <c r="E734" i="1"/>
  <c r="D734" i="1"/>
  <c r="E733" i="1"/>
  <c r="E732" i="1" s="1"/>
  <c r="D733" i="1"/>
  <c r="F732" i="1"/>
  <c r="D732" i="1"/>
  <c r="F731" i="1"/>
  <c r="E730" i="1"/>
  <c r="D730" i="1"/>
  <c r="F730" i="1" s="1"/>
  <c r="F729" i="1"/>
  <c r="E728" i="1"/>
  <c r="E727" i="1" s="1"/>
  <c r="E726" i="1" s="1"/>
  <c r="D728" i="1"/>
  <c r="E723" i="1"/>
  <c r="F723" i="1" s="1"/>
  <c r="E722" i="1"/>
  <c r="E721" i="1" s="1"/>
  <c r="E720" i="1" s="1"/>
  <c r="D722" i="1"/>
  <c r="F719" i="1"/>
  <c r="E719" i="1"/>
  <c r="E718" i="1" s="1"/>
  <c r="E717" i="1" s="1"/>
  <c r="E716" i="1" s="1"/>
  <c r="F718" i="1"/>
  <c r="D718" i="1"/>
  <c r="D717" i="1" s="1"/>
  <c r="D716" i="1" s="1"/>
  <c r="F716" i="1" s="1"/>
  <c r="E714" i="1"/>
  <c r="E713" i="1" s="1"/>
  <c r="E712" i="1" s="1"/>
  <c r="D714" i="1"/>
  <c r="E711" i="1"/>
  <c r="E710" i="1" s="1"/>
  <c r="F709" i="1"/>
  <c r="E708" i="1"/>
  <c r="E707" i="1" s="1"/>
  <c r="E706" i="1" s="1"/>
  <c r="D708" i="1"/>
  <c r="F705" i="1"/>
  <c r="F704" i="1"/>
  <c r="E704" i="1"/>
  <c r="D704" i="1"/>
  <c r="E703" i="1"/>
  <c r="E702" i="1" s="1"/>
  <c r="D703" i="1"/>
  <c r="D702" i="1"/>
  <c r="E700" i="1"/>
  <c r="D700" i="1"/>
  <c r="F700" i="1" s="1"/>
  <c r="F699" i="1"/>
  <c r="E699" i="1"/>
  <c r="D699" i="1"/>
  <c r="D698" i="1" s="1"/>
  <c r="E698" i="1"/>
  <c r="E697" i="1" s="1"/>
  <c r="D697" i="1"/>
  <c r="F696" i="1"/>
  <c r="E695" i="1"/>
  <c r="E694" i="1" s="1"/>
  <c r="E693" i="1" s="1"/>
  <c r="D695" i="1"/>
  <c r="E692" i="1"/>
  <c r="E691" i="1"/>
  <c r="F691" i="1" s="1"/>
  <c r="F690" i="1"/>
  <c r="E690" i="1"/>
  <c r="D690" i="1"/>
  <c r="D689" i="1" s="1"/>
  <c r="E689" i="1"/>
  <c r="E688" i="1" s="1"/>
  <c r="D688" i="1"/>
  <c r="F688" i="1" s="1"/>
  <c r="E687" i="1"/>
  <c r="F687" i="1" s="1"/>
  <c r="E686" i="1"/>
  <c r="D686" i="1"/>
  <c r="D685" i="1"/>
  <c r="D682" i="1"/>
  <c r="D681" i="1"/>
  <c r="D680" i="1"/>
  <c r="F678" i="1"/>
  <c r="E677" i="1"/>
  <c r="E676" i="1" s="1"/>
  <c r="E675" i="1" s="1"/>
  <c r="D677" i="1"/>
  <c r="D676" i="1" s="1"/>
  <c r="D675" i="1" s="1"/>
  <c r="F676" i="1"/>
  <c r="F674" i="1"/>
  <c r="E673" i="1"/>
  <c r="D673" i="1"/>
  <c r="D672" i="1"/>
  <c r="F670" i="1"/>
  <c r="E669" i="1"/>
  <c r="D669" i="1"/>
  <c r="F669" i="1" s="1"/>
  <c r="F668" i="1"/>
  <c r="E668" i="1"/>
  <c r="D668" i="1"/>
  <c r="D667" i="1" s="1"/>
  <c r="E667" i="1"/>
  <c r="F664" i="1"/>
  <c r="E663" i="1"/>
  <c r="D663" i="1"/>
  <c r="F663" i="1" s="1"/>
  <c r="F662" i="1"/>
  <c r="E662" i="1"/>
  <c r="D662" i="1"/>
  <c r="D661" i="1" s="1"/>
  <c r="E661" i="1"/>
  <c r="D660" i="1"/>
  <c r="F660" i="1" s="1"/>
  <c r="F659" i="1"/>
  <c r="E659" i="1"/>
  <c r="D659" i="1"/>
  <c r="D658" i="1" s="1"/>
  <c r="E658" i="1"/>
  <c r="E657" i="1" s="1"/>
  <c r="E656" i="1"/>
  <c r="E651" i="1" s="1"/>
  <c r="E650" i="1" s="1"/>
  <c r="E649" i="1" s="1"/>
  <c r="E648" i="1" s="1"/>
  <c r="E647" i="1" s="1"/>
  <c r="E646" i="1" s="1"/>
  <c r="D656" i="1"/>
  <c r="D655" i="1" s="1"/>
  <c r="D654" i="1" s="1"/>
  <c r="D653" i="1"/>
  <c r="D645" i="1"/>
  <c r="E644" i="1"/>
  <c r="E643" i="1" s="1"/>
  <c r="E642" i="1"/>
  <c r="E641" i="1" s="1"/>
  <c r="E640" i="1" s="1"/>
  <c r="F639" i="1"/>
  <c r="E638" i="1"/>
  <c r="E637" i="1" s="1"/>
  <c r="D638" i="1"/>
  <c r="D637" i="1" s="1"/>
  <c r="D636" i="1" s="1"/>
  <c r="F637" i="1"/>
  <c r="E636" i="1"/>
  <c r="E635" i="1"/>
  <c r="E634" i="1" s="1"/>
  <c r="E633" i="1" s="1"/>
  <c r="E632" i="1" s="1"/>
  <c r="D635" i="1"/>
  <c r="F626" i="1"/>
  <c r="E625" i="1"/>
  <c r="D625" i="1"/>
  <c r="D624" i="1"/>
  <c r="F622" i="1"/>
  <c r="E621" i="1"/>
  <c r="D621" i="1"/>
  <c r="F621" i="1" s="1"/>
  <c r="F620" i="1"/>
  <c r="E620" i="1"/>
  <c r="D620" i="1"/>
  <c r="D619" i="1" s="1"/>
  <c r="E619" i="1"/>
  <c r="F615" i="1"/>
  <c r="F614" i="1"/>
  <c r="E614" i="1"/>
  <c r="D614" i="1"/>
  <c r="D613" i="1" s="1"/>
  <c r="F613" i="1" s="1"/>
  <c r="E613" i="1"/>
  <c r="E612" i="1" s="1"/>
  <c r="E611" i="1" s="1"/>
  <c r="D612" i="1"/>
  <c r="F610" i="1"/>
  <c r="F609" i="1"/>
  <c r="E608" i="1"/>
  <c r="D608" i="1"/>
  <c r="E607" i="1"/>
  <c r="E606" i="1" s="1"/>
  <c r="E605" i="1"/>
  <c r="D604" i="1"/>
  <c r="D603" i="1" s="1"/>
  <c r="D602" i="1" s="1"/>
  <c r="F601" i="1"/>
  <c r="E601" i="1"/>
  <c r="E596" i="1" s="1"/>
  <c r="E595" i="1" s="1"/>
  <c r="F595" i="1" s="1"/>
  <c r="D600" i="1"/>
  <c r="D599" i="1"/>
  <c r="D598" i="1"/>
  <c r="D596" i="1"/>
  <c r="D595" i="1"/>
  <c r="D594" i="1" s="1"/>
  <c r="E594" i="1"/>
  <c r="E593" i="1" s="1"/>
  <c r="D593" i="1"/>
  <c r="F593" i="1" s="1"/>
  <c r="F592" i="1"/>
  <c r="F591" i="1"/>
  <c r="E590" i="1"/>
  <c r="D590" i="1"/>
  <c r="D589" i="1"/>
  <c r="F585" i="1"/>
  <c r="E584" i="1"/>
  <c r="E583" i="1" s="1"/>
  <c r="D584" i="1"/>
  <c r="F584" i="1" s="1"/>
  <c r="D583" i="1"/>
  <c r="F583" i="1" s="1"/>
  <c r="F582" i="1"/>
  <c r="E581" i="1"/>
  <c r="E580" i="1" s="1"/>
  <c r="E579" i="1" s="1"/>
  <c r="D581" i="1"/>
  <c r="F578" i="1"/>
  <c r="F577" i="1"/>
  <c r="E577" i="1"/>
  <c r="D577" i="1"/>
  <c r="E576" i="1"/>
  <c r="D576" i="1"/>
  <c r="D575" i="1"/>
  <c r="F574" i="1"/>
  <c r="E574" i="1"/>
  <c r="E573" i="1"/>
  <c r="D573" i="1"/>
  <c r="D572" i="1"/>
  <c r="F570" i="1"/>
  <c r="E570" i="1"/>
  <c r="E569" i="1"/>
  <c r="E568" i="1" s="1"/>
  <c r="E567" i="1" s="1"/>
  <c r="D569" i="1"/>
  <c r="E565" i="1"/>
  <c r="E564" i="1" s="1"/>
  <c r="E563" i="1" s="1"/>
  <c r="E562" i="1" s="1"/>
  <c r="D565" i="1"/>
  <c r="F565" i="1" s="1"/>
  <c r="D564" i="1"/>
  <c r="F561" i="1"/>
  <c r="F560" i="1"/>
  <c r="E560" i="1"/>
  <c r="D560" i="1"/>
  <c r="D559" i="1" s="1"/>
  <c r="F559" i="1" s="1"/>
  <c r="E559" i="1"/>
  <c r="E558" i="1" s="1"/>
  <c r="D558" i="1"/>
  <c r="F558" i="1" s="1"/>
  <c r="E557" i="1"/>
  <c r="E556" i="1" s="1"/>
  <c r="D557" i="1"/>
  <c r="D556" i="1" s="1"/>
  <c r="D555" i="1" s="1"/>
  <c r="D554" i="1"/>
  <c r="E553" i="1"/>
  <c r="D553" i="1"/>
  <c r="F553" i="1" s="1"/>
  <c r="F552" i="1"/>
  <c r="E552" i="1"/>
  <c r="D552" i="1"/>
  <c r="D551" i="1" s="1"/>
  <c r="E551" i="1"/>
  <c r="E550" i="1" s="1"/>
  <c r="D550" i="1"/>
  <c r="F550" i="1" s="1"/>
  <c r="E548" i="1"/>
  <c r="E547" i="1" s="1"/>
  <c r="D548" i="1"/>
  <c r="D547" i="1" s="1"/>
  <c r="E546" i="1"/>
  <c r="E545" i="1" s="1"/>
  <c r="F544" i="1"/>
  <c r="E543" i="1"/>
  <c r="D543" i="1"/>
  <c r="E542" i="1"/>
  <c r="E541" i="1" s="1"/>
  <c r="F540" i="1"/>
  <c r="F539" i="1"/>
  <c r="E539" i="1"/>
  <c r="D539" i="1"/>
  <c r="D538" i="1" s="1"/>
  <c r="E538" i="1"/>
  <c r="E537" i="1" s="1"/>
  <c r="D537" i="1"/>
  <c r="F534" i="1"/>
  <c r="F533" i="1"/>
  <c r="E533" i="1"/>
  <c r="D533" i="1"/>
  <c r="D532" i="1" s="1"/>
  <c r="E532" i="1"/>
  <c r="F527" i="1"/>
  <c r="E526" i="1"/>
  <c r="E525" i="1" s="1"/>
  <c r="D526" i="1"/>
  <c r="F526" i="1" s="1"/>
  <c r="D525" i="1"/>
  <c r="F525" i="1" s="1"/>
  <c r="F524" i="1"/>
  <c r="F523" i="1"/>
  <c r="F522" i="1"/>
  <c r="F521" i="1"/>
  <c r="E521" i="1"/>
  <c r="D521" i="1"/>
  <c r="F520" i="1"/>
  <c r="F519" i="1"/>
  <c r="E519" i="1"/>
  <c r="D519" i="1"/>
  <c r="D518" i="1" s="1"/>
  <c r="E518" i="1"/>
  <c r="E517" i="1" s="1"/>
  <c r="D517" i="1"/>
  <c r="F517" i="1" s="1"/>
  <c r="F516" i="1"/>
  <c r="F515" i="1"/>
  <c r="E514" i="1"/>
  <c r="D514" i="1"/>
  <c r="F514" i="1" s="1"/>
  <c r="F513" i="1"/>
  <c r="E512" i="1"/>
  <c r="E511" i="1" s="1"/>
  <c r="D512" i="1"/>
  <c r="F512" i="1" s="1"/>
  <c r="D511" i="1"/>
  <c r="F508" i="1"/>
  <c r="F507" i="1"/>
  <c r="E507" i="1"/>
  <c r="D507" i="1"/>
  <c r="F506" i="1"/>
  <c r="F505" i="1"/>
  <c r="E505" i="1"/>
  <c r="D505" i="1"/>
  <c r="D504" i="1" s="1"/>
  <c r="E504" i="1"/>
  <c r="E498" i="1" s="1"/>
  <c r="F503" i="1"/>
  <c r="F502" i="1"/>
  <c r="F501" i="1"/>
  <c r="E500" i="1"/>
  <c r="E499" i="1" s="1"/>
  <c r="D500" i="1"/>
  <c r="D499" i="1" s="1"/>
  <c r="F497" i="1"/>
  <c r="E496" i="1"/>
  <c r="D496" i="1"/>
  <c r="F496" i="1" s="1"/>
  <c r="E495" i="1"/>
  <c r="E494" i="1" s="1"/>
  <c r="D495" i="1"/>
  <c r="F495" i="1" s="1"/>
  <c r="F493" i="1"/>
  <c r="E492" i="1"/>
  <c r="D492" i="1"/>
  <c r="D491" i="1" s="1"/>
  <c r="E491" i="1"/>
  <c r="E490" i="1"/>
  <c r="F489" i="1"/>
  <c r="E488" i="1"/>
  <c r="D488" i="1"/>
  <c r="F488" i="1" s="1"/>
  <c r="E487" i="1"/>
  <c r="E486" i="1" s="1"/>
  <c r="F484" i="1"/>
  <c r="F483" i="1"/>
  <c r="F482" i="1"/>
  <c r="E482" i="1"/>
  <c r="D482" i="1"/>
  <c r="E481" i="1"/>
  <c r="D481" i="1"/>
  <c r="F481" i="1" s="1"/>
  <c r="E480" i="1"/>
  <c r="E479" i="1" s="1"/>
  <c r="D480" i="1"/>
  <c r="F478" i="1"/>
  <c r="F477" i="1"/>
  <c r="E477" i="1"/>
  <c r="E476" i="1" s="1"/>
  <c r="E475" i="1" s="1"/>
  <c r="D477" i="1"/>
  <c r="D476" i="1" s="1"/>
  <c r="F476" i="1" s="1"/>
  <c r="F474" i="1"/>
  <c r="E473" i="1"/>
  <c r="E472" i="1" s="1"/>
  <c r="E468" i="1" s="1"/>
  <c r="D473" i="1"/>
  <c r="D472" i="1"/>
  <c r="F471" i="1"/>
  <c r="E470" i="1"/>
  <c r="E469" i="1" s="1"/>
  <c r="D470" i="1"/>
  <c r="E467" i="1"/>
  <c r="E466" i="1" s="1"/>
  <c r="E465" i="1" s="1"/>
  <c r="E464" i="1" s="1"/>
  <c r="D467" i="1"/>
  <c r="D466" i="1"/>
  <c r="D465" i="1"/>
  <c r="D464" i="1" s="1"/>
  <c r="F464" i="1" s="1"/>
  <c r="E463" i="1"/>
  <c r="D463" i="1"/>
  <c r="E462" i="1"/>
  <c r="E461" i="1" s="1"/>
  <c r="E460" i="1" s="1"/>
  <c r="D462" i="1"/>
  <c r="F454" i="1"/>
  <c r="E453" i="1"/>
  <c r="F453" i="1" s="1"/>
  <c r="D453" i="1"/>
  <c r="D452" i="1" s="1"/>
  <c r="F451" i="1"/>
  <c r="E450" i="1"/>
  <c r="D450" i="1"/>
  <c r="F450" i="1" s="1"/>
  <c r="F449" i="1"/>
  <c r="F448" i="1"/>
  <c r="E448" i="1"/>
  <c r="E447" i="1" s="1"/>
  <c r="D448" i="1"/>
  <c r="D447" i="1"/>
  <c r="D446" i="1"/>
  <c r="F444" i="1"/>
  <c r="E443" i="1"/>
  <c r="F443" i="1" s="1"/>
  <c r="D443" i="1"/>
  <c r="D442" i="1" s="1"/>
  <c r="D441" i="1" s="1"/>
  <c r="D440" i="1"/>
  <c r="F438" i="1"/>
  <c r="E437" i="1"/>
  <c r="F437" i="1" s="1"/>
  <c r="D437" i="1"/>
  <c r="D436" i="1" s="1"/>
  <c r="F435" i="1"/>
  <c r="E434" i="1"/>
  <c r="D434" i="1"/>
  <c r="F434" i="1" s="1"/>
  <c r="E433" i="1"/>
  <c r="D433" i="1"/>
  <c r="F430" i="1"/>
  <c r="F429" i="1"/>
  <c r="E429" i="1"/>
  <c r="D429" i="1"/>
  <c r="E428" i="1"/>
  <c r="D428" i="1"/>
  <c r="F428" i="1" s="1"/>
  <c r="E427" i="1"/>
  <c r="F426" i="1"/>
  <c r="E425" i="1"/>
  <c r="E424" i="1" s="1"/>
  <c r="E423" i="1" s="1"/>
  <c r="D425" i="1"/>
  <c r="F425" i="1" s="1"/>
  <c r="F424" i="1"/>
  <c r="D424" i="1"/>
  <c r="D423" i="1" s="1"/>
  <c r="F423" i="1"/>
  <c r="F422" i="1"/>
  <c r="E421" i="1"/>
  <c r="F421" i="1" s="1"/>
  <c r="D421" i="1"/>
  <c r="D420" i="1" s="1"/>
  <c r="D419" i="1" s="1"/>
  <c r="F418" i="1"/>
  <c r="E417" i="1"/>
  <c r="E416" i="1" s="1"/>
  <c r="D417" i="1"/>
  <c r="E415" i="1"/>
  <c r="F414" i="1"/>
  <c r="F413" i="1"/>
  <c r="F412" i="1"/>
  <c r="E411" i="1"/>
  <c r="E410" i="1" s="1"/>
  <c r="D411" i="1"/>
  <c r="F411" i="1" s="1"/>
  <c r="D410" i="1"/>
  <c r="F410" i="1" s="1"/>
  <c r="F409" i="1"/>
  <c r="F408" i="1"/>
  <c r="F407" i="1"/>
  <c r="E406" i="1"/>
  <c r="D406" i="1"/>
  <c r="F406" i="1" s="1"/>
  <c r="E405" i="1"/>
  <c r="D405" i="1"/>
  <c r="F404" i="1"/>
  <c r="F403" i="1"/>
  <c r="F402" i="1"/>
  <c r="E401" i="1"/>
  <c r="F401" i="1" s="1"/>
  <c r="D401" i="1"/>
  <c r="D400" i="1" s="1"/>
  <c r="F398" i="1"/>
  <c r="E397" i="1"/>
  <c r="E396" i="1" s="1"/>
  <c r="E395" i="1" s="1"/>
  <c r="D397" i="1"/>
  <c r="F394" i="1"/>
  <c r="F393" i="1"/>
  <c r="E392" i="1"/>
  <c r="D392" i="1"/>
  <c r="D391" i="1" s="1"/>
  <c r="E391" i="1"/>
  <c r="E390" i="1"/>
  <c r="D389" i="1"/>
  <c r="D388" i="1" s="1"/>
  <c r="E388" i="1"/>
  <c r="E387" i="1" s="1"/>
  <c r="F386" i="1"/>
  <c r="E385" i="1"/>
  <c r="D385" i="1"/>
  <c r="F385" i="1" s="1"/>
  <c r="E384" i="1"/>
  <c r="F382" i="1"/>
  <c r="E381" i="1"/>
  <c r="E380" i="1" s="1"/>
  <c r="E379" i="1" s="1"/>
  <c r="D381" i="1"/>
  <c r="D380" i="1" s="1"/>
  <c r="F380" i="1" s="1"/>
  <c r="D379" i="1"/>
  <c r="F379" i="1" s="1"/>
  <c r="F376" i="1"/>
  <c r="F375" i="1"/>
  <c r="E374" i="1"/>
  <c r="E373" i="1" s="1"/>
  <c r="D374" i="1"/>
  <c r="F372" i="1"/>
  <c r="F371" i="1"/>
  <c r="F370" i="1"/>
  <c r="F369" i="1"/>
  <c r="F368" i="1"/>
  <c r="E368" i="1"/>
  <c r="D368" i="1"/>
  <c r="E367" i="1"/>
  <c r="D367" i="1"/>
  <c r="F367" i="1" s="1"/>
  <c r="E366" i="1"/>
  <c r="F365" i="1"/>
  <c r="F364" i="1"/>
  <c r="E363" i="1"/>
  <c r="D363" i="1"/>
  <c r="F363" i="1" s="1"/>
  <c r="E362" i="1"/>
  <c r="E361" i="1" s="1"/>
  <c r="D362" i="1"/>
  <c r="E360" i="1"/>
  <c r="F359" i="1"/>
  <c r="F358" i="1"/>
  <c r="E357" i="1"/>
  <c r="D357" i="1"/>
  <c r="D356" i="1" s="1"/>
  <c r="E356" i="1"/>
  <c r="E355" i="1"/>
  <c r="E354" i="1" s="1"/>
  <c r="F351" i="1"/>
  <c r="E350" i="1"/>
  <c r="F350" i="1" s="1"/>
  <c r="D350" i="1"/>
  <c r="D349" i="1" s="1"/>
  <c r="E349" i="1"/>
  <c r="F349" i="1" s="1"/>
  <c r="F348" i="1"/>
  <c r="F347" i="1"/>
  <c r="F346" i="1"/>
  <c r="F345" i="1"/>
  <c r="E345" i="1"/>
  <c r="E344" i="1" s="1"/>
  <c r="D345" i="1"/>
  <c r="D344" i="1" s="1"/>
  <c r="F344" i="1"/>
  <c r="D343" i="1"/>
  <c r="F342" i="1"/>
  <c r="F341" i="1"/>
  <c r="E341" i="1"/>
  <c r="E340" i="1" s="1"/>
  <c r="D341" i="1"/>
  <c r="D340" i="1"/>
  <c r="F339" i="1"/>
  <c r="F338" i="1"/>
  <c r="E337" i="1"/>
  <c r="E336" i="1" s="1"/>
  <c r="E330" i="1" s="1"/>
  <c r="D337" i="1"/>
  <c r="D336" i="1"/>
  <c r="F335" i="1"/>
  <c r="F334" i="1"/>
  <c r="F333" i="1"/>
  <c r="F332" i="1"/>
  <c r="E332" i="1"/>
  <c r="D332" i="1"/>
  <c r="E331" i="1"/>
  <c r="D331" i="1"/>
  <c r="F331" i="1" s="1"/>
  <c r="F328" i="1"/>
  <c r="F327" i="1"/>
  <c r="E326" i="1"/>
  <c r="E325" i="1" s="1"/>
  <c r="D326" i="1"/>
  <c r="F324" i="1"/>
  <c r="F323" i="1"/>
  <c r="F322" i="1"/>
  <c r="F321" i="1"/>
  <c r="E321" i="1"/>
  <c r="E320" i="1" s="1"/>
  <c r="D321" i="1"/>
  <c r="D320" i="1"/>
  <c r="F320" i="1" s="1"/>
  <c r="F319" i="1"/>
  <c r="F318" i="1"/>
  <c r="F317" i="1"/>
  <c r="F316" i="1"/>
  <c r="E316" i="1"/>
  <c r="D316" i="1"/>
  <c r="E315" i="1"/>
  <c r="D315" i="1"/>
  <c r="F315" i="1" s="1"/>
  <c r="E314" i="1"/>
  <c r="E313" i="1" s="1"/>
  <c r="F311" i="1"/>
  <c r="F310" i="1"/>
  <c r="E310" i="1"/>
  <c r="D310" i="1"/>
  <c r="E309" i="1"/>
  <c r="D309" i="1"/>
  <c r="F309" i="1" s="1"/>
  <c r="E308" i="1"/>
  <c r="F307" i="1"/>
  <c r="E306" i="1"/>
  <c r="E305" i="1" s="1"/>
  <c r="E304" i="1" s="1"/>
  <c r="D306" i="1"/>
  <c r="F306" i="1" s="1"/>
  <c r="D305" i="1"/>
  <c r="D304" i="1" s="1"/>
  <c r="F304" i="1"/>
  <c r="F302" i="1"/>
  <c r="F301" i="1"/>
  <c r="F300" i="1"/>
  <c r="E300" i="1"/>
  <c r="D300" i="1"/>
  <c r="E299" i="1"/>
  <c r="D299" i="1"/>
  <c r="F299" i="1" s="1"/>
  <c r="E298" i="1"/>
  <c r="F297" i="1"/>
  <c r="F296" i="1"/>
  <c r="F295" i="1"/>
  <c r="E294" i="1"/>
  <c r="F294" i="1" s="1"/>
  <c r="D294" i="1"/>
  <c r="D293" i="1" s="1"/>
  <c r="F293" i="1"/>
  <c r="E293" i="1"/>
  <c r="E282" i="1" s="1"/>
  <c r="E281" i="1" s="1"/>
  <c r="F292" i="1"/>
  <c r="F291" i="1"/>
  <c r="F290" i="1"/>
  <c r="E289" i="1"/>
  <c r="E288" i="1" s="1"/>
  <c r="D289" i="1"/>
  <c r="D288" i="1" s="1"/>
  <c r="F288" i="1"/>
  <c r="F287" i="1"/>
  <c r="F286" i="1"/>
  <c r="F285" i="1"/>
  <c r="E284" i="1"/>
  <c r="E283" i="1" s="1"/>
  <c r="D284" i="1"/>
  <c r="F280" i="1"/>
  <c r="E279" i="1"/>
  <c r="D279" i="1"/>
  <c r="F279" i="1" s="1"/>
  <c r="E278" i="1"/>
  <c r="E277" i="1" s="1"/>
  <c r="F276" i="1"/>
  <c r="E275" i="1"/>
  <c r="E274" i="1" s="1"/>
  <c r="E273" i="1" s="1"/>
  <c r="D275" i="1"/>
  <c r="D274" i="1" s="1"/>
  <c r="F274" i="1" s="1"/>
  <c r="F272" i="1"/>
  <c r="E271" i="1"/>
  <c r="E270" i="1" s="1"/>
  <c r="E269" i="1" s="1"/>
  <c r="D271" i="1"/>
  <c r="D270" i="1"/>
  <c r="F270" i="1" s="1"/>
  <c r="F269" i="1"/>
  <c r="D269" i="1"/>
  <c r="F267" i="1"/>
  <c r="E266" i="1"/>
  <c r="F266" i="1" s="1"/>
  <c r="D266" i="1"/>
  <c r="E265" i="1"/>
  <c r="E264" i="1" s="1"/>
  <c r="D265" i="1"/>
  <c r="D264" i="1"/>
  <c r="F263" i="1"/>
  <c r="E262" i="1"/>
  <c r="E261" i="1" s="1"/>
  <c r="D262" i="1"/>
  <c r="E260" i="1"/>
  <c r="F259" i="1"/>
  <c r="F258" i="1"/>
  <c r="E258" i="1"/>
  <c r="D258" i="1"/>
  <c r="E257" i="1"/>
  <c r="D257" i="1"/>
  <c r="F257" i="1" s="1"/>
  <c r="E256" i="1"/>
  <c r="D256" i="1"/>
  <c r="F254" i="1"/>
  <c r="F253" i="1"/>
  <c r="E253" i="1"/>
  <c r="E252" i="1" s="1"/>
  <c r="E251" i="1" s="1"/>
  <c r="D253" i="1"/>
  <c r="D252" i="1" s="1"/>
  <c r="D251" i="1" s="1"/>
  <c r="F251" i="1" s="1"/>
  <c r="F250" i="1"/>
  <c r="E249" i="1"/>
  <c r="E248" i="1" s="1"/>
  <c r="E247" i="1" s="1"/>
  <c r="D249" i="1"/>
  <c r="D248" i="1"/>
  <c r="F248" i="1" s="1"/>
  <c r="D247" i="1"/>
  <c r="F247" i="1" s="1"/>
  <c r="F246" i="1"/>
  <c r="E245" i="1"/>
  <c r="D245" i="1"/>
  <c r="D244" i="1" s="1"/>
  <c r="E244" i="1"/>
  <c r="E243" i="1"/>
  <c r="E234" i="1" s="1"/>
  <c r="F242" i="1"/>
  <c r="E241" i="1"/>
  <c r="D241" i="1"/>
  <c r="F241" i="1" s="1"/>
  <c r="E240" i="1"/>
  <c r="E239" i="1" s="1"/>
  <c r="D240" i="1"/>
  <c r="F238" i="1"/>
  <c r="F237" i="1"/>
  <c r="E237" i="1"/>
  <c r="D237" i="1"/>
  <c r="D236" i="1" s="1"/>
  <c r="D235" i="1" s="1"/>
  <c r="F236" i="1"/>
  <c r="E236" i="1"/>
  <c r="E235" i="1"/>
  <c r="F233" i="1"/>
  <c r="E232" i="1"/>
  <c r="E231" i="1" s="1"/>
  <c r="E230" i="1" s="1"/>
  <c r="F230" i="1" s="1"/>
  <c r="D232" i="1"/>
  <c r="F232" i="1" s="1"/>
  <c r="D231" i="1"/>
  <c r="D230" i="1" s="1"/>
  <c r="F229" i="1"/>
  <c r="E228" i="1"/>
  <c r="F228" i="1" s="1"/>
  <c r="D228" i="1"/>
  <c r="D227" i="1"/>
  <c r="D226" i="1"/>
  <c r="E224" i="1"/>
  <c r="D224" i="1"/>
  <c r="D223" i="1" s="1"/>
  <c r="F223" i="1" s="1"/>
  <c r="E223" i="1"/>
  <c r="E222" i="1"/>
  <c r="E221" i="1"/>
  <c r="F220" i="1"/>
  <c r="E219" i="1"/>
  <c r="E218" i="1" s="1"/>
  <c r="E217" i="1" s="1"/>
  <c r="D219" i="1"/>
  <c r="F219" i="1" s="1"/>
  <c r="D218" i="1"/>
  <c r="D217" i="1" s="1"/>
  <c r="F217" i="1" s="1"/>
  <c r="F216" i="1"/>
  <c r="E215" i="1"/>
  <c r="F215" i="1" s="1"/>
  <c r="D215" i="1"/>
  <c r="F214" i="1"/>
  <c r="E214" i="1"/>
  <c r="D214" i="1"/>
  <c r="D203" i="1"/>
  <c r="F201" i="1"/>
  <c r="E201" i="1"/>
  <c r="E200" i="1" s="1"/>
  <c r="E199" i="1" s="1"/>
  <c r="E198" i="1" s="1"/>
  <c r="D200" i="1"/>
  <c r="D199" i="1"/>
  <c r="D198" i="1" s="1"/>
  <c r="F197" i="1"/>
  <c r="E196" i="1"/>
  <c r="D196" i="1"/>
  <c r="F196" i="1" s="1"/>
  <c r="F195" i="1"/>
  <c r="F194" i="1"/>
  <c r="F193" i="1"/>
  <c r="E192" i="1"/>
  <c r="D192" i="1"/>
  <c r="F192" i="1" s="1"/>
  <c r="E191" i="1"/>
  <c r="D191" i="1"/>
  <c r="F191" i="1" s="1"/>
  <c r="F190" i="1"/>
  <c r="F189" i="1"/>
  <c r="E189" i="1"/>
  <c r="E188" i="1"/>
  <c r="F188" i="1" s="1"/>
  <c r="D188" i="1"/>
  <c r="F187" i="1"/>
  <c r="E186" i="1"/>
  <c r="D185" i="1"/>
  <c r="D184" i="1"/>
  <c r="F183" i="1"/>
  <c r="F182" i="1"/>
  <c r="F181" i="1"/>
  <c r="E180" i="1"/>
  <c r="F180" i="1" s="1"/>
  <c r="D179" i="1"/>
  <c r="F178" i="1"/>
  <c r="F177" i="1"/>
  <c r="F176" i="1"/>
  <c r="E175" i="1"/>
  <c r="F175" i="1" s="1"/>
  <c r="D174" i="1"/>
  <c r="D173" i="1"/>
  <c r="F172" i="1"/>
  <c r="F171" i="1"/>
  <c r="E170" i="1"/>
  <c r="F170" i="1" s="1"/>
  <c r="F169" i="1"/>
  <c r="E169" i="1"/>
  <c r="D169" i="1"/>
  <c r="F167" i="1"/>
  <c r="E166" i="1"/>
  <c r="F166" i="1" s="1"/>
  <c r="F165" i="1"/>
  <c r="E165" i="1"/>
  <c r="D165" i="1"/>
  <c r="F164" i="1"/>
  <c r="F163" i="1"/>
  <c r="E163" i="1"/>
  <c r="D163" i="1"/>
  <c r="E162" i="1"/>
  <c r="E161" i="1" s="1"/>
  <c r="D162" i="1"/>
  <c r="D161" i="1" s="1"/>
  <c r="F161" i="1" s="1"/>
  <c r="F160" i="1"/>
  <c r="F159" i="1"/>
  <c r="F158" i="1"/>
  <c r="F157" i="1"/>
  <c r="E156" i="1"/>
  <c r="F156" i="1" s="1"/>
  <c r="D156" i="1"/>
  <c r="F155" i="1"/>
  <c r="F154" i="1"/>
  <c r="F153" i="1"/>
  <c r="F152" i="1"/>
  <c r="E151" i="1"/>
  <c r="D151" i="1"/>
  <c r="D150" i="1" s="1"/>
  <c r="F149" i="1"/>
  <c r="F148" i="1"/>
  <c r="F147" i="1"/>
  <c r="F146" i="1"/>
  <c r="E146" i="1"/>
  <c r="F145" i="1"/>
  <c r="F144" i="1"/>
  <c r="F143" i="1"/>
  <c r="E142" i="1"/>
  <c r="D142" i="1"/>
  <c r="F141" i="1"/>
  <c r="E141" i="1"/>
  <c r="E140" i="1"/>
  <c r="D139" i="1"/>
  <c r="D138" i="1"/>
  <c r="F137" i="1"/>
  <c r="F136" i="1"/>
  <c r="E135" i="1"/>
  <c r="D135" i="1"/>
  <c r="F135" i="1" s="1"/>
  <c r="E134" i="1"/>
  <c r="F134" i="1" s="1"/>
  <c r="F133" i="1"/>
  <c r="E133" i="1"/>
  <c r="E132" i="1" s="1"/>
  <c r="D132" i="1"/>
  <c r="D131" i="1"/>
  <c r="D130" i="1" s="1"/>
  <c r="E128" i="1"/>
  <c r="F128" i="1" s="1"/>
  <c r="F127" i="1"/>
  <c r="E127" i="1"/>
  <c r="F126" i="1"/>
  <c r="E126" i="1"/>
  <c r="E125" i="1"/>
  <c r="F125" i="1" s="1"/>
  <c r="E124" i="1"/>
  <c r="E123" i="1" s="1"/>
  <c r="D124" i="1"/>
  <c r="D123" i="1" s="1"/>
  <c r="E122" i="1"/>
  <c r="D122" i="1"/>
  <c r="F122" i="1" s="1"/>
  <c r="F121" i="1"/>
  <c r="E121" i="1"/>
  <c r="D121" i="1"/>
  <c r="F120" i="1"/>
  <c r="E120" i="1"/>
  <c r="D120" i="1"/>
  <c r="E119" i="1"/>
  <c r="D119" i="1"/>
  <c r="F119" i="1" s="1"/>
  <c r="F118" i="1"/>
  <c r="F117" i="1"/>
  <c r="E117" i="1"/>
  <c r="D117" i="1"/>
  <c r="E116" i="1"/>
  <c r="D116" i="1"/>
  <c r="F116" i="1" s="1"/>
  <c r="F115" i="1"/>
  <c r="E115" i="1"/>
  <c r="D115" i="1"/>
  <c r="F114" i="1"/>
  <c r="E114" i="1"/>
  <c r="D114" i="1"/>
  <c r="E113" i="1"/>
  <c r="D113" i="1"/>
  <c r="F113" i="1" s="1"/>
  <c r="F112" i="1"/>
  <c r="E112" i="1"/>
  <c r="E111" i="1" s="1"/>
  <c r="D112" i="1"/>
  <c r="D111" i="1" s="1"/>
  <c r="F111" i="1" s="1"/>
  <c r="E110" i="1"/>
  <c r="E109" i="1" s="1"/>
  <c r="F109" i="1" s="1"/>
  <c r="D109" i="1"/>
  <c r="E108" i="1"/>
  <c r="D108" i="1"/>
  <c r="F108" i="1" s="1"/>
  <c r="E107" i="1"/>
  <c r="D107" i="1"/>
  <c r="F107" i="1" s="1"/>
  <c r="F106" i="1"/>
  <c r="E106" i="1"/>
  <c r="E105" i="1" s="1"/>
  <c r="D106" i="1"/>
  <c r="D105" i="1"/>
  <c r="F104" i="1"/>
  <c r="E104" i="1"/>
  <c r="E103" i="1"/>
  <c r="F103" i="1" s="1"/>
  <c r="D103" i="1"/>
  <c r="D102" i="1"/>
  <c r="F101" i="1"/>
  <c r="E101" i="1"/>
  <c r="E100" i="1" s="1"/>
  <c r="F100" i="1" s="1"/>
  <c r="D100" i="1"/>
  <c r="E99" i="1"/>
  <c r="F99" i="1" s="1"/>
  <c r="E98" i="1"/>
  <c r="D98" i="1"/>
  <c r="F98" i="1" s="1"/>
  <c r="E97" i="1"/>
  <c r="F97" i="1" s="1"/>
  <c r="E96" i="1"/>
  <c r="D96" i="1"/>
  <c r="F96" i="1" s="1"/>
  <c r="E95" i="1"/>
  <c r="D95" i="1"/>
  <c r="F95" i="1" s="1"/>
  <c r="E94" i="1"/>
  <c r="F94" i="1" s="1"/>
  <c r="E93" i="1"/>
  <c r="D93" i="1"/>
  <c r="F93" i="1" s="1"/>
  <c r="E92" i="1"/>
  <c r="D92" i="1"/>
  <c r="F86" i="1"/>
  <c r="E86" i="1"/>
  <c r="F85" i="1"/>
  <c r="E85" i="1"/>
  <c r="D85" i="1"/>
  <c r="F84" i="1"/>
  <c r="E83" i="1"/>
  <c r="D83" i="1"/>
  <c r="F83" i="1" s="1"/>
  <c r="E82" i="1"/>
  <c r="E81" i="1" s="1"/>
  <c r="D82" i="1"/>
  <c r="D81" i="1" s="1"/>
  <c r="E80" i="1"/>
  <c r="D80" i="1"/>
  <c r="F80" i="1" s="1"/>
  <c r="F79" i="1"/>
  <c r="E79" i="1"/>
  <c r="D79" i="1"/>
  <c r="F78" i="1"/>
  <c r="E78" i="1"/>
  <c r="D78" i="1"/>
  <c r="F77" i="1"/>
  <c r="F76" i="1"/>
  <c r="F75" i="1"/>
  <c r="F74" i="1"/>
  <c r="E74" i="1"/>
  <c r="D74" i="1"/>
  <c r="F73" i="1"/>
  <c r="E73" i="1"/>
  <c r="F72" i="1"/>
  <c r="E71" i="1"/>
  <c r="E66" i="1" s="1"/>
  <c r="D71" i="1"/>
  <c r="D66" i="1" s="1"/>
  <c r="F70" i="1"/>
  <c r="F69" i="1"/>
  <c r="E69" i="1"/>
  <c r="F68" i="1"/>
  <c r="F67" i="1"/>
  <c r="E67" i="1"/>
  <c r="F63" i="1"/>
  <c r="F62" i="1"/>
  <c r="F61" i="1"/>
  <c r="E61" i="1"/>
  <c r="E59" i="1" s="1"/>
  <c r="D61" i="1"/>
  <c r="D59" i="1" s="1"/>
  <c r="F59" i="1" s="1"/>
  <c r="F60" i="1"/>
  <c r="F58" i="1"/>
  <c r="F57" i="1"/>
  <c r="E57" i="1"/>
  <c r="F56" i="1"/>
  <c r="F55" i="1"/>
  <c r="E54" i="1"/>
  <c r="D54" i="1"/>
  <c r="F54" i="1" s="1"/>
  <c r="F53" i="1"/>
  <c r="F52" i="1"/>
  <c r="E52" i="1"/>
  <c r="D52" i="1"/>
  <c r="F51" i="1"/>
  <c r="E51" i="1"/>
  <c r="D51" i="1"/>
  <c r="F50" i="1"/>
  <c r="E49" i="1"/>
  <c r="D49" i="1"/>
  <c r="F49" i="1" s="1"/>
  <c r="F48" i="1"/>
  <c r="E48" i="1"/>
  <c r="E47" i="1" s="1"/>
  <c r="D48" i="1"/>
  <c r="F46" i="1"/>
  <c r="E46" i="1"/>
  <c r="E44" i="1" s="1"/>
  <c r="D46" i="1"/>
  <c r="F45" i="1"/>
  <c r="E45" i="1"/>
  <c r="D45" i="1"/>
  <c r="D44" i="1"/>
  <c r="F43" i="1"/>
  <c r="E43" i="1"/>
  <c r="F42" i="1"/>
  <c r="E42" i="1"/>
  <c r="E41" i="1"/>
  <c r="D41" i="1"/>
  <c r="F41" i="1" s="1"/>
  <c r="F40" i="1"/>
  <c r="F39" i="1"/>
  <c r="E39" i="1"/>
  <c r="F38" i="1"/>
  <c r="E38" i="1"/>
  <c r="E37" i="1"/>
  <c r="F37" i="1" s="1"/>
  <c r="E36" i="1"/>
  <c r="E35" i="1" s="1"/>
  <c r="D35" i="1"/>
  <c r="F34" i="1"/>
  <c r="E33" i="1"/>
  <c r="D33" i="1"/>
  <c r="F33" i="1" s="1"/>
  <c r="F30" i="1"/>
  <c r="E30" i="1"/>
  <c r="F29" i="1"/>
  <c r="E29" i="1"/>
  <c r="E28" i="1" s="1"/>
  <c r="E27" i="1" s="1"/>
  <c r="D29" i="1"/>
  <c r="D28" i="1" s="1"/>
  <c r="F26" i="1"/>
  <c r="F25" i="1"/>
  <c r="E25" i="1"/>
  <c r="D25" i="1"/>
  <c r="F24" i="1"/>
  <c r="E23" i="1"/>
  <c r="D23" i="1"/>
  <c r="F23" i="1" s="1"/>
  <c r="F22" i="1"/>
  <c r="E22" i="1"/>
  <c r="E21" i="1" s="1"/>
  <c r="F21" i="1" s="1"/>
  <c r="D21" i="1"/>
  <c r="F20" i="1"/>
  <c r="E20" i="1"/>
  <c r="F19" i="1"/>
  <c r="E19" i="1"/>
  <c r="E18" i="1" s="1"/>
  <c r="E17" i="1" s="1"/>
  <c r="D19" i="1"/>
  <c r="D18" i="1" s="1"/>
  <c r="D64" i="1" l="1"/>
  <c r="F66" i="1"/>
  <c r="E64" i="1"/>
  <c r="F132" i="1"/>
  <c r="E131" i="1"/>
  <c r="F105" i="1"/>
  <c r="F198" i="1"/>
  <c r="F235" i="1"/>
  <c r="F28" i="1"/>
  <c r="D27" i="1"/>
  <c r="F27" i="1" s="1"/>
  <c r="F81" i="1"/>
  <c r="F18" i="1"/>
  <c r="D17" i="1"/>
  <c r="F35" i="1"/>
  <c r="E32" i="1"/>
  <c r="D90" i="1"/>
  <c r="F123" i="1"/>
  <c r="D129" i="1"/>
  <c r="F326" i="1"/>
  <c r="D325" i="1"/>
  <c r="F417" i="1"/>
  <c r="D416" i="1"/>
  <c r="D571" i="1"/>
  <c r="D868" i="1"/>
  <c r="F869" i="1"/>
  <c r="F36" i="1"/>
  <c r="D47" i="1"/>
  <c r="F47" i="1" s="1"/>
  <c r="F71" i="1"/>
  <c r="F82" i="1"/>
  <c r="F92" i="1"/>
  <c r="F110" i="1"/>
  <c r="F124" i="1"/>
  <c r="E150" i="1"/>
  <c r="F162" i="1"/>
  <c r="F186" i="1"/>
  <c r="E185" i="1"/>
  <c r="F265" i="1"/>
  <c r="F275" i="1"/>
  <c r="F337" i="1"/>
  <c r="F362" i="1"/>
  <c r="D361" i="1"/>
  <c r="F405" i="1"/>
  <c r="D458" i="1"/>
  <c r="F463" i="1"/>
  <c r="F467" i="1"/>
  <c r="F473" i="1"/>
  <c r="F480" i="1"/>
  <c r="D479" i="1"/>
  <c r="F479" i="1" s="1"/>
  <c r="F556" i="1"/>
  <c r="E555" i="1"/>
  <c r="E554" i="1" s="1"/>
  <c r="D671" i="1"/>
  <c r="F150" i="1"/>
  <c r="F44" i="1"/>
  <c r="E102" i="1"/>
  <c r="F102" i="1" s="1"/>
  <c r="F131" i="1"/>
  <c r="F151" i="1"/>
  <c r="F224" i="1"/>
  <c r="F240" i="1"/>
  <c r="D239" i="1"/>
  <c r="F239" i="1" s="1"/>
  <c r="D243" i="1"/>
  <c r="F243" i="1" s="1"/>
  <c r="F244" i="1"/>
  <c r="F249" i="1"/>
  <c r="F256" i="1"/>
  <c r="E268" i="1"/>
  <c r="F305" i="1"/>
  <c r="F374" i="1"/>
  <c r="D373" i="1"/>
  <c r="D390" i="1"/>
  <c r="F390" i="1" s="1"/>
  <c r="F391" i="1"/>
  <c r="E400" i="1"/>
  <c r="E399" i="1" s="1"/>
  <c r="F612" i="1"/>
  <c r="D611" i="1"/>
  <c r="F611" i="1" s="1"/>
  <c r="E942" i="1"/>
  <c r="F943" i="1"/>
  <c r="D980" i="1"/>
  <c r="F140" i="1"/>
  <c r="E139" i="1"/>
  <c r="E138" i="1" s="1"/>
  <c r="F138" i="1" s="1"/>
  <c r="E255" i="1"/>
  <c r="F262" i="1"/>
  <c r="D261" i="1"/>
  <c r="F271" i="1"/>
  <c r="D278" i="1"/>
  <c r="F284" i="1"/>
  <c r="D283" i="1"/>
  <c r="F289" i="1"/>
  <c r="E420" i="1"/>
  <c r="E419" i="1" s="1"/>
  <c r="F470" i="1"/>
  <c r="D469" i="1"/>
  <c r="D475" i="1"/>
  <c r="F475" i="1" s="1"/>
  <c r="D487" i="1"/>
  <c r="D490" i="1"/>
  <c r="F490" i="1" s="1"/>
  <c r="F491" i="1"/>
  <c r="F504" i="1"/>
  <c r="F697" i="1"/>
  <c r="F703" i="1"/>
  <c r="D911" i="1"/>
  <c r="F564" i="1"/>
  <c r="D563" i="1"/>
  <c r="D623" i="1"/>
  <c r="D727" i="1"/>
  <c r="F728" i="1"/>
  <c r="D168" i="1"/>
  <c r="D222" i="1"/>
  <c r="F231" i="1"/>
  <c r="E303" i="1"/>
  <c r="D330" i="1"/>
  <c r="F340" i="1"/>
  <c r="E343" i="1"/>
  <c r="E329" i="1" s="1"/>
  <c r="E312" i="1" s="1"/>
  <c r="D355" i="1"/>
  <c r="F356" i="1"/>
  <c r="F381" i="1"/>
  <c r="D399" i="1"/>
  <c r="F399" i="1" s="1"/>
  <c r="F420" i="1"/>
  <c r="E436" i="1"/>
  <c r="F436" i="1" s="1"/>
  <c r="E442" i="1"/>
  <c r="F447" i="1"/>
  <c r="E452" i="1"/>
  <c r="F452" i="1" s="1"/>
  <c r="E458" i="1"/>
  <c r="E457" i="1" s="1"/>
  <c r="E456" i="1" s="1"/>
  <c r="E455" i="1" s="1"/>
  <c r="E485" i="1"/>
  <c r="D510" i="1"/>
  <c r="F511" i="1"/>
  <c r="D880" i="1"/>
  <c r="F952" i="1"/>
  <c r="E951" i="1"/>
  <c r="D1031" i="1"/>
  <c r="E227" i="1"/>
  <c r="F252" i="1"/>
  <c r="D273" i="1"/>
  <c r="F273" i="1" s="1"/>
  <c r="F419" i="1"/>
  <c r="F465" i="1"/>
  <c r="D498" i="1"/>
  <c r="F498" i="1" s="1"/>
  <c r="F499" i="1"/>
  <c r="F532" i="1"/>
  <c r="D530" i="1"/>
  <c r="D531" i="1"/>
  <c r="E589" i="1"/>
  <c r="E588" i="1" s="1"/>
  <c r="E587" i="1" s="1"/>
  <c r="E586" i="1" s="1"/>
  <c r="F590" i="1"/>
  <c r="D634" i="1"/>
  <c r="F635" i="1"/>
  <c r="D630" i="1"/>
  <c r="D684" i="1"/>
  <c r="F791" i="1"/>
  <c r="D790" i="1"/>
  <c r="F790" i="1" s="1"/>
  <c r="F142" i="1"/>
  <c r="F200" i="1"/>
  <c r="F218" i="1"/>
  <c r="F264" i="1"/>
  <c r="D298" i="1"/>
  <c r="F298" i="1" s="1"/>
  <c r="D308" i="1"/>
  <c r="F336" i="1"/>
  <c r="D384" i="1"/>
  <c r="D387" i="1"/>
  <c r="F387" i="1" s="1"/>
  <c r="F388" i="1"/>
  <c r="D427" i="1"/>
  <c r="F427" i="1" s="1"/>
  <c r="E446" i="1"/>
  <c r="E445" i="1" s="1"/>
  <c r="F466" i="1"/>
  <c r="F472" i="1"/>
  <c r="D494" i="1"/>
  <c r="F494" i="1" s="1"/>
  <c r="D546" i="1"/>
  <c r="F547" i="1"/>
  <c r="F658" i="1"/>
  <c r="D657" i="1"/>
  <c r="F657" i="1" s="1"/>
  <c r="F675" i="1"/>
  <c r="D860" i="1"/>
  <c r="F861" i="1"/>
  <c r="E213" i="1"/>
  <c r="E383" i="1"/>
  <c r="E378" i="1" s="1"/>
  <c r="E377" i="1" s="1"/>
  <c r="F397" i="1"/>
  <c r="D396" i="1"/>
  <c r="F433" i="1"/>
  <c r="D432" i="1"/>
  <c r="F462" i="1"/>
  <c r="D461" i="1"/>
  <c r="E685" i="1"/>
  <c r="E684" i="1" s="1"/>
  <c r="F686" i="1"/>
  <c r="F717" i="1"/>
  <c r="E174" i="1"/>
  <c r="F174" i="1" s="1"/>
  <c r="E179" i="1"/>
  <c r="F179" i="1" s="1"/>
  <c r="F199" i="1"/>
  <c r="F554" i="1"/>
  <c r="D568" i="1"/>
  <c r="F569" i="1"/>
  <c r="F645" i="1"/>
  <c r="D644" i="1"/>
  <c r="D679" i="1"/>
  <c r="D933" i="1"/>
  <c r="F934" i="1"/>
  <c r="F537" i="1"/>
  <c r="F543" i="1"/>
  <c r="D542" i="1"/>
  <c r="D580" i="1"/>
  <c r="F581" i="1"/>
  <c r="F594" i="1"/>
  <c r="F608" i="1"/>
  <c r="D607" i="1"/>
  <c r="F636" i="1"/>
  <c r="F661" i="1"/>
  <c r="F667" i="1"/>
  <c r="E672" i="1"/>
  <c r="E671" i="1" s="1"/>
  <c r="F673" i="1"/>
  <c r="D694" i="1"/>
  <c r="F695" i="1"/>
  <c r="D713" i="1"/>
  <c r="F714" i="1"/>
  <c r="F722" i="1"/>
  <c r="D721" i="1"/>
  <c r="E802" i="1"/>
  <c r="F389" i="1"/>
  <c r="E510" i="1"/>
  <c r="E509" i="1" s="1"/>
  <c r="F518" i="1"/>
  <c r="E536" i="1"/>
  <c r="E535" i="1" s="1"/>
  <c r="F589" i="1"/>
  <c r="D588" i="1"/>
  <c r="F804" i="1"/>
  <c r="E821" i="1"/>
  <c r="D846" i="1"/>
  <c r="F847" i="1"/>
  <c r="D987" i="1"/>
  <c r="D1000" i="1"/>
  <c r="F1001" i="1"/>
  <c r="F245" i="1"/>
  <c r="F357" i="1"/>
  <c r="F392" i="1"/>
  <c r="F492" i="1"/>
  <c r="E531" i="1"/>
  <c r="E530" i="1"/>
  <c r="E529" i="1" s="1"/>
  <c r="F538" i="1"/>
  <c r="F551" i="1"/>
  <c r="F555" i="1"/>
  <c r="F576" i="1"/>
  <c r="E575" i="1"/>
  <c r="F575" i="1" s="1"/>
  <c r="F596" i="1"/>
  <c r="F689" i="1"/>
  <c r="F702" i="1"/>
  <c r="D707" i="1"/>
  <c r="F708" i="1"/>
  <c r="D783" i="1"/>
  <c r="F784" i="1"/>
  <c r="F822" i="1"/>
  <c r="D962" i="1"/>
  <c r="F963" i="1"/>
  <c r="D1025" i="1"/>
  <c r="F573" i="1"/>
  <c r="E572" i="1"/>
  <c r="E571" i="1" s="1"/>
  <c r="F605" i="1"/>
  <c r="E604" i="1"/>
  <c r="E603" i="1" s="1"/>
  <c r="E602" i="1" s="1"/>
  <c r="F602" i="1" s="1"/>
  <c r="F619" i="1"/>
  <c r="E624" i="1"/>
  <c r="E623" i="1" s="1"/>
  <c r="F625" i="1"/>
  <c r="F698" i="1"/>
  <c r="F774" i="1"/>
  <c r="F798" i="1"/>
  <c r="E873" i="1"/>
  <c r="F874" i="1"/>
  <c r="D907" i="1"/>
  <c r="F907" i="1" s="1"/>
  <c r="F908" i="1"/>
  <c r="D1006" i="1"/>
  <c r="E600" i="1"/>
  <c r="E655" i="1"/>
  <c r="E682" i="1"/>
  <c r="D736" i="1"/>
  <c r="F736" i="1" s="1"/>
  <c r="F751" i="1"/>
  <c r="D778" i="1"/>
  <c r="F778" i="1" s="1"/>
  <c r="D809" i="1"/>
  <c r="F810" i="1"/>
  <c r="D815" i="1"/>
  <c r="F816" i="1"/>
  <c r="D827" i="1"/>
  <c r="F828" i="1"/>
  <c r="F877" i="1"/>
  <c r="F993" i="1"/>
  <c r="F733" i="1"/>
  <c r="F764" i="1"/>
  <c r="F799" i="1"/>
  <c r="F805" i="1"/>
  <c r="F823" i="1"/>
  <c r="F835" i="1"/>
  <c r="D840" i="1"/>
  <c r="F841" i="1"/>
  <c r="D890" i="1"/>
  <c r="F891" i="1"/>
  <c r="E929" i="1"/>
  <c r="F930" i="1"/>
  <c r="F958" i="1"/>
  <c r="F964" i="1"/>
  <c r="F1036" i="1"/>
  <c r="D1041" i="1"/>
  <c r="F1041" i="1" s="1"/>
  <c r="F1042" i="1"/>
  <c r="E747" i="1"/>
  <c r="E743" i="1"/>
  <c r="E742" i="1" s="1"/>
  <c r="F748" i="1"/>
  <c r="E772" i="1"/>
  <c r="D818" i="1"/>
  <c r="F819" i="1"/>
  <c r="D884" i="1"/>
  <c r="F884" i="1" s="1"/>
  <c r="F885" i="1"/>
  <c r="F913" i="1"/>
  <c r="E912" i="1"/>
  <c r="E911" i="1" s="1"/>
  <c r="D937" i="1"/>
  <c r="F938" i="1"/>
  <c r="D1018" i="1"/>
  <c r="F1019" i="1"/>
  <c r="F500" i="1"/>
  <c r="F548" i="1"/>
  <c r="F557" i="1"/>
  <c r="F604" i="1"/>
  <c r="F638" i="1"/>
  <c r="F656" i="1"/>
  <c r="F677" i="1"/>
  <c r="F749" i="1"/>
  <c r="D769" i="1"/>
  <c r="F770" i="1"/>
  <c r="D761" i="1"/>
  <c r="F775" i="1"/>
  <c r="F800" i="1"/>
  <c r="F806" i="1"/>
  <c r="F824" i="1"/>
  <c r="F836" i="1"/>
  <c r="D853" i="1"/>
  <c r="F853" i="1" s="1"/>
  <c r="F886" i="1"/>
  <c r="F920" i="1"/>
  <c r="F959" i="1"/>
  <c r="F984" i="1"/>
  <c r="F990" i="1"/>
  <c r="E989" i="1"/>
  <c r="E988" i="1" s="1"/>
  <c r="E987" i="1" s="1"/>
  <c r="E981" i="1"/>
  <c r="E980" i="1" s="1"/>
  <c r="E979" i="1" s="1"/>
  <c r="E978" i="1" s="1"/>
  <c r="E973" i="1" s="1"/>
  <c r="E972" i="1" s="1"/>
  <c r="E971" i="1" s="1"/>
  <c r="D1012" i="1"/>
  <c r="E1032" i="1"/>
  <c r="E1031" i="1" s="1"/>
  <c r="E1030" i="1" s="1"/>
  <c r="E1029" i="1" s="1"/>
  <c r="F1043" i="1"/>
  <c r="E630" i="1"/>
  <c r="E629" i="1" s="1"/>
  <c r="E628" i="1" s="1"/>
  <c r="E627" i="1" s="1"/>
  <c r="E618" i="1" s="1"/>
  <c r="E617" i="1" s="1"/>
  <c r="D651" i="1"/>
  <c r="F738" i="1"/>
  <c r="F750" i="1"/>
  <c r="F796" i="1"/>
  <c r="F837" i="1"/>
  <c r="D905" i="1"/>
  <c r="D901" i="1"/>
  <c r="D945" i="1"/>
  <c r="F945" i="1" s="1"/>
  <c r="D967" i="1"/>
  <c r="F967" i="1" s="1"/>
  <c r="F1014" i="1"/>
  <c r="E1013" i="1"/>
  <c r="E1012" i="1" s="1"/>
  <c r="E1011" i="1" s="1"/>
  <c r="E1010" i="1" s="1"/>
  <c r="E1003" i="1" s="1"/>
  <c r="F1021" i="1"/>
  <c r="F1033" i="1"/>
  <c r="F1067" i="1"/>
  <c r="D787" i="1"/>
  <c r="F788" i="1"/>
  <c r="F864" i="1"/>
  <c r="F876" i="1"/>
  <c r="D915" i="1"/>
  <c r="F915" i="1" s="1"/>
  <c r="E953" i="1"/>
  <c r="F992" i="1"/>
  <c r="F1008" i="1"/>
  <c r="E1007" i="1"/>
  <c r="E1006" i="1" s="1"/>
  <c r="E1005" i="1" s="1"/>
  <c r="E1004" i="1" s="1"/>
  <c r="F1027" i="1"/>
  <c r="E1026" i="1"/>
  <c r="E1025" i="1" s="1"/>
  <c r="E881" i="1"/>
  <c r="E880" i="1" s="1"/>
  <c r="F917" i="1"/>
  <c r="D925" i="1"/>
  <c r="F1037" i="1"/>
  <c r="F905" i="1" l="1"/>
  <c r="D904" i="1"/>
  <c r="F989" i="1"/>
  <c r="D817" i="1"/>
  <c r="F817" i="1" s="1"/>
  <c r="F818" i="1"/>
  <c r="D814" i="1"/>
  <c r="F815" i="1"/>
  <c r="E654" i="1"/>
  <c r="F655" i="1"/>
  <c r="D706" i="1"/>
  <c r="F706" i="1" s="1"/>
  <c r="F707" i="1"/>
  <c r="D999" i="1"/>
  <c r="F1000" i="1"/>
  <c r="E212" i="1"/>
  <c r="E211" i="1" s="1"/>
  <c r="F384" i="1"/>
  <c r="D383" i="1"/>
  <c r="F1032" i="1"/>
  <c r="F510" i="1"/>
  <c r="D509" i="1"/>
  <c r="F509" i="1" s="1"/>
  <c r="D562" i="1"/>
  <c r="F562" i="1" s="1"/>
  <c r="F563" i="1"/>
  <c r="F373" i="1"/>
  <c r="D366" i="1"/>
  <c r="F366" i="1" s="1"/>
  <c r="E184" i="1"/>
  <c r="F184" i="1" s="1"/>
  <c r="F185" i="1"/>
  <c r="D415" i="1"/>
  <c r="F415" i="1" s="1"/>
  <c r="F416" i="1"/>
  <c r="F17" i="1"/>
  <c r="F1013" i="1"/>
  <c r="F761" i="1"/>
  <c r="D760" i="1"/>
  <c r="D839" i="1"/>
  <c r="F839" i="1" s="1"/>
  <c r="F840" i="1"/>
  <c r="E599" i="1"/>
  <c r="F600" i="1"/>
  <c r="E528" i="1"/>
  <c r="F988" i="1"/>
  <c r="F588" i="1"/>
  <c r="F721" i="1"/>
  <c r="D720" i="1"/>
  <c r="F720" i="1" s="1"/>
  <c r="D579" i="1"/>
  <c r="F579" i="1" s="1"/>
  <c r="F580" i="1"/>
  <c r="F933" i="1"/>
  <c r="D932" i="1"/>
  <c r="F932" i="1" s="1"/>
  <c r="D567" i="1"/>
  <c r="F567" i="1" s="1"/>
  <c r="F568" i="1"/>
  <c r="D460" i="1"/>
  <c r="F460" i="1" s="1"/>
  <c r="F461" i="1"/>
  <c r="D633" i="1"/>
  <c r="F634" i="1"/>
  <c r="D1030" i="1"/>
  <c r="F1031" i="1"/>
  <c r="F222" i="1"/>
  <c r="D221" i="1"/>
  <c r="D360" i="1"/>
  <c r="F360" i="1" s="1"/>
  <c r="F361" i="1"/>
  <c r="E90" i="1"/>
  <c r="E130" i="1"/>
  <c r="F1012" i="1"/>
  <c r="D936" i="1"/>
  <c r="F936" i="1" s="1"/>
  <c r="F937" i="1"/>
  <c r="D808" i="1"/>
  <c r="F809" i="1"/>
  <c r="F1007" i="1"/>
  <c r="F987" i="1"/>
  <c r="F860" i="1"/>
  <c r="D859" i="1"/>
  <c r="F951" i="1"/>
  <c r="E950" i="1"/>
  <c r="E432" i="1"/>
  <c r="E431" i="1" s="1"/>
  <c r="F487" i="1"/>
  <c r="D486" i="1"/>
  <c r="D282" i="1"/>
  <c r="F283" i="1"/>
  <c r="F325" i="1"/>
  <c r="D314" i="1"/>
  <c r="D768" i="1"/>
  <c r="F769" i="1"/>
  <c r="F742" i="1"/>
  <c r="E741" i="1"/>
  <c r="D1005" i="1"/>
  <c r="F1006" i="1"/>
  <c r="D541" i="1"/>
  <c r="F542" i="1"/>
  <c r="D431" i="1"/>
  <c r="F431" i="1" s="1"/>
  <c r="F308" i="1"/>
  <c r="D303" i="1"/>
  <c r="F303" i="1" s="1"/>
  <c r="D354" i="1"/>
  <c r="F355" i="1"/>
  <c r="F912" i="1"/>
  <c r="F671" i="1"/>
  <c r="D666" i="1"/>
  <c r="F90" i="1"/>
  <c r="D89" i="1"/>
  <c r="E746" i="1"/>
  <c r="F747" i="1"/>
  <c r="E928" i="1"/>
  <c r="F929" i="1"/>
  <c r="F1026" i="1"/>
  <c r="D712" i="1"/>
  <c r="F713" i="1"/>
  <c r="F531" i="1"/>
  <c r="F881" i="1"/>
  <c r="F911" i="1"/>
  <c r="D468" i="1"/>
  <c r="F468" i="1" s="1"/>
  <c r="F469" i="1"/>
  <c r="F278" i="1"/>
  <c r="D277" i="1"/>
  <c r="F277" i="1" s="1"/>
  <c r="F981" i="1"/>
  <c r="F672" i="1"/>
  <c r="F343" i="1"/>
  <c r="D32" i="1"/>
  <c r="D786" i="1"/>
  <c r="F786" i="1" s="1"/>
  <c r="F787" i="1"/>
  <c r="D650" i="1"/>
  <c r="F651" i="1"/>
  <c r="F1025" i="1"/>
  <c r="F783" i="1"/>
  <c r="D782" i="1"/>
  <c r="F782" i="1" s="1"/>
  <c r="D845" i="1"/>
  <c r="F846" i="1"/>
  <c r="D606" i="1"/>
  <c r="F606" i="1" s="1"/>
  <c r="F607" i="1"/>
  <c r="E173" i="1"/>
  <c r="D395" i="1"/>
  <c r="F395" i="1" s="1"/>
  <c r="F396" i="1"/>
  <c r="D268" i="1"/>
  <c r="F268" i="1" s="1"/>
  <c r="F684" i="1"/>
  <c r="D529" i="1"/>
  <c r="F530" i="1"/>
  <c r="E226" i="1"/>
  <c r="F226" i="1" s="1"/>
  <c r="F227" i="1"/>
  <c r="F880" i="1"/>
  <c r="E441" i="1"/>
  <c r="F442" i="1"/>
  <c r="F727" i="1"/>
  <c r="D726" i="1"/>
  <c r="F980" i="1"/>
  <c r="D979" i="1"/>
  <c r="D867" i="1"/>
  <c r="F868" i="1"/>
  <c r="D234" i="1"/>
  <c r="F234" i="1" s="1"/>
  <c r="F925" i="1"/>
  <c r="D924" i="1"/>
  <c r="F743" i="1"/>
  <c r="D889" i="1"/>
  <c r="F890" i="1"/>
  <c r="D826" i="1"/>
  <c r="F827" i="1"/>
  <c r="D693" i="1"/>
  <c r="F694" i="1"/>
  <c r="D643" i="1"/>
  <c r="F644" i="1"/>
  <c r="F685" i="1"/>
  <c r="F330" i="1"/>
  <c r="D329" i="1"/>
  <c r="F329" i="1" s="1"/>
  <c r="F623" i="1"/>
  <c r="F446" i="1"/>
  <c r="D260" i="1"/>
  <c r="F261" i="1"/>
  <c r="F139" i="1"/>
  <c r="F572" i="1"/>
  <c r="E31" i="1"/>
  <c r="D900" i="1"/>
  <c r="F901" i="1"/>
  <c r="D1017" i="1"/>
  <c r="F1018" i="1"/>
  <c r="E681" i="1"/>
  <c r="F682" i="1"/>
  <c r="F873" i="1"/>
  <c r="E872" i="1"/>
  <c r="F962" i="1"/>
  <c r="D953" i="1"/>
  <c r="F953" i="1" s="1"/>
  <c r="F546" i="1"/>
  <c r="D545" i="1"/>
  <c r="F545" i="1" s="1"/>
  <c r="F630" i="1"/>
  <c r="D629" i="1"/>
  <c r="F624" i="1"/>
  <c r="F942" i="1"/>
  <c r="E941" i="1"/>
  <c r="F603" i="1"/>
  <c r="D457" i="1"/>
  <c r="F458" i="1"/>
  <c r="F571" i="1"/>
  <c r="F400" i="1"/>
  <c r="F64" i="1"/>
  <c r="D888" i="1" l="1"/>
  <c r="F888" i="1" s="1"/>
  <c r="F889" i="1"/>
  <c r="F999" i="1"/>
  <c r="D991" i="1"/>
  <c r="D628" i="1"/>
  <c r="F629" i="1"/>
  <c r="D725" i="1"/>
  <c r="F726" i="1"/>
  <c r="F529" i="1"/>
  <c r="D767" i="1"/>
  <c r="F767" i="1" s="1"/>
  <c r="F768" i="1"/>
  <c r="E949" i="1"/>
  <c r="F949" i="1" s="1"/>
  <c r="F950" i="1"/>
  <c r="F808" i="1"/>
  <c r="D803" i="1"/>
  <c r="E680" i="1"/>
  <c r="F681" i="1"/>
  <c r="D642" i="1"/>
  <c r="F643" i="1"/>
  <c r="D923" i="1"/>
  <c r="F923" i="1" s="1"/>
  <c r="F924" i="1"/>
  <c r="D844" i="1"/>
  <c r="F844" i="1" s="1"/>
  <c r="F845" i="1"/>
  <c r="F32" i="1"/>
  <c r="D31" i="1"/>
  <c r="E927" i="1"/>
  <c r="F927" i="1" s="1"/>
  <c r="F928" i="1"/>
  <c r="F314" i="1"/>
  <c r="D313" i="1"/>
  <c r="F221" i="1"/>
  <c r="D213" i="1"/>
  <c r="D903" i="1"/>
  <c r="F903" i="1" s="1"/>
  <c r="F904" i="1"/>
  <c r="F260" i="1"/>
  <c r="D255" i="1"/>
  <c r="F255" i="1" s="1"/>
  <c r="F541" i="1"/>
  <c r="D536" i="1"/>
  <c r="D858" i="1"/>
  <c r="F859" i="1"/>
  <c r="D587" i="1"/>
  <c r="D759" i="1"/>
  <c r="F760" i="1"/>
  <c r="F383" i="1"/>
  <c r="D378" i="1"/>
  <c r="F457" i="1"/>
  <c r="D456" i="1"/>
  <c r="D1016" i="1"/>
  <c r="F1017" i="1"/>
  <c r="D692" i="1"/>
  <c r="F692" i="1" s="1"/>
  <c r="F693" i="1"/>
  <c r="E440" i="1"/>
  <c r="F441" i="1"/>
  <c r="E745" i="1"/>
  <c r="F745" i="1" s="1"/>
  <c r="F746" i="1"/>
  <c r="F354" i="1"/>
  <c r="E653" i="1"/>
  <c r="F653" i="1" s="1"/>
  <c r="F654" i="1"/>
  <c r="D88" i="1"/>
  <c r="D1004" i="1"/>
  <c r="F1004" i="1" s="1"/>
  <c r="F1005" i="1"/>
  <c r="D281" i="1"/>
  <c r="F281" i="1" s="1"/>
  <c r="F282" i="1"/>
  <c r="D1029" i="1"/>
  <c r="F1029" i="1" s="1"/>
  <c r="F1030" i="1"/>
  <c r="E940" i="1"/>
  <c r="F941" i="1"/>
  <c r="F900" i="1"/>
  <c r="D899" i="1"/>
  <c r="F826" i="1"/>
  <c r="D821" i="1"/>
  <c r="F821" i="1" s="1"/>
  <c r="E168" i="1"/>
  <c r="F168" i="1" s="1"/>
  <c r="F173" i="1"/>
  <c r="E740" i="1"/>
  <c r="F741" i="1"/>
  <c r="F486" i="1"/>
  <c r="D485" i="1"/>
  <c r="F485" i="1" s="1"/>
  <c r="D773" i="1"/>
  <c r="E129" i="1"/>
  <c r="F129" i="1" s="1"/>
  <c r="F130" i="1"/>
  <c r="D813" i="1"/>
  <c r="F814" i="1"/>
  <c r="F872" i="1"/>
  <c r="E867" i="1"/>
  <c r="F867" i="1" s="1"/>
  <c r="D978" i="1"/>
  <c r="F979" i="1"/>
  <c r="D649" i="1"/>
  <c r="F650" i="1"/>
  <c r="D711" i="1"/>
  <c r="F712" i="1"/>
  <c r="F432" i="1"/>
  <c r="E89" i="1"/>
  <c r="E88" i="1" s="1"/>
  <c r="E87" i="1" s="1"/>
  <c r="E15" i="1" s="1"/>
  <c r="D632" i="1"/>
  <c r="F632" i="1" s="1"/>
  <c r="F633" i="1"/>
  <c r="F599" i="1"/>
  <c r="E598" i="1"/>
  <c r="F598" i="1" s="1"/>
  <c r="E1072" i="1" l="1"/>
  <c r="E1071" i="1" s="1"/>
  <c r="E1070" i="1" s="1"/>
  <c r="D455" i="1"/>
  <c r="F456" i="1"/>
  <c r="F858" i="1"/>
  <c r="F725" i="1"/>
  <c r="F213" i="1"/>
  <c r="D212" i="1"/>
  <c r="F711" i="1"/>
  <c r="D710" i="1"/>
  <c r="E725" i="1"/>
  <c r="E724" i="1" s="1"/>
  <c r="F740" i="1"/>
  <c r="D535" i="1"/>
  <c r="F536" i="1"/>
  <c r="D312" i="1"/>
  <c r="F312" i="1" s="1"/>
  <c r="F313" i="1"/>
  <c r="F803" i="1"/>
  <c r="F813" i="1"/>
  <c r="D812" i="1"/>
  <c r="F812" i="1" s="1"/>
  <c r="F940" i="1"/>
  <c r="E893" i="1"/>
  <c r="F89" i="1"/>
  <c r="F378" i="1"/>
  <c r="D377" i="1"/>
  <c r="D627" i="1"/>
  <c r="F628" i="1"/>
  <c r="D898" i="1"/>
  <c r="F899" i="1"/>
  <c r="F1016" i="1"/>
  <c r="D1011" i="1"/>
  <c r="F649" i="1"/>
  <c r="D648" i="1"/>
  <c r="F88" i="1"/>
  <c r="D87" i="1"/>
  <c r="F87" i="1" s="1"/>
  <c r="E439" i="1"/>
  <c r="E353" i="1" s="1"/>
  <c r="F440" i="1"/>
  <c r="F991" i="1"/>
  <c r="F642" i="1"/>
  <c r="D641" i="1"/>
  <c r="E857" i="1"/>
  <c r="E771" i="1" s="1"/>
  <c r="F978" i="1"/>
  <c r="D973" i="1"/>
  <c r="F773" i="1"/>
  <c r="D772" i="1"/>
  <c r="F759" i="1"/>
  <c r="D758" i="1"/>
  <c r="F31" i="1"/>
  <c r="D15" i="1"/>
  <c r="D586" i="1"/>
  <c r="F586" i="1" s="1"/>
  <c r="F587" i="1"/>
  <c r="E679" i="1"/>
  <c r="F680" i="1"/>
  <c r="D972" i="1" l="1"/>
  <c r="F973" i="1"/>
  <c r="F535" i="1"/>
  <c r="D528" i="1"/>
  <c r="F528" i="1" s="1"/>
  <c r="F898" i="1"/>
  <c r="D893" i="1"/>
  <c r="D1072" i="1"/>
  <c r="D1071" i="1" s="1"/>
  <c r="D1070" i="1" s="1"/>
  <c r="F15" i="1"/>
  <c r="D640" i="1"/>
  <c r="F640" i="1" s="1"/>
  <c r="F641" i="1"/>
  <c r="F627" i="1"/>
  <c r="D618" i="1"/>
  <c r="F710" i="1"/>
  <c r="D665" i="1"/>
  <c r="F758" i="1"/>
  <c r="D753" i="1"/>
  <c r="F648" i="1"/>
  <c r="D647" i="1"/>
  <c r="F377" i="1"/>
  <c r="D802" i="1"/>
  <c r="F802" i="1" s="1"/>
  <c r="D211" i="1"/>
  <c r="F212" i="1"/>
  <c r="F455" i="1"/>
  <c r="D445" i="1"/>
  <c r="F772" i="1"/>
  <c r="D1010" i="1"/>
  <c r="F1011" i="1"/>
  <c r="E666" i="1"/>
  <c r="F679" i="1"/>
  <c r="E1069" i="1"/>
  <c r="E1068" i="1" s="1"/>
  <c r="D1069" i="1" l="1"/>
  <c r="D1068" i="1" s="1"/>
  <c r="F893" i="1"/>
  <c r="D857" i="1"/>
  <c r="F857" i="1" s="1"/>
  <c r="F1010" i="1"/>
  <c r="D1003" i="1"/>
  <c r="F1003" i="1" s="1"/>
  <c r="F618" i="1"/>
  <c r="D617" i="1"/>
  <c r="F211" i="1"/>
  <c r="D646" i="1"/>
  <c r="F646" i="1" s="1"/>
  <c r="F647" i="1"/>
  <c r="E665" i="1"/>
  <c r="E616" i="1" s="1"/>
  <c r="E352" i="1" s="1"/>
  <c r="E209" i="1" s="1"/>
  <c r="F666" i="1"/>
  <c r="E1053" i="1"/>
  <c r="F445" i="1"/>
  <c r="D439" i="1"/>
  <c r="D1053" i="1"/>
  <c r="F753" i="1"/>
  <c r="D724" i="1"/>
  <c r="F724" i="1" s="1"/>
  <c r="F972" i="1"/>
  <c r="D971" i="1"/>
  <c r="F971" i="1" s="1"/>
  <c r="E1080" i="1" l="1"/>
  <c r="E1079" i="1" s="1"/>
  <c r="E1078" i="1" s="1"/>
  <c r="E1049" i="1"/>
  <c r="D771" i="1"/>
  <c r="F771" i="1" s="1"/>
  <c r="F439" i="1"/>
  <c r="D353" i="1"/>
  <c r="F665" i="1"/>
  <c r="D616" i="1"/>
  <c r="F616" i="1" s="1"/>
  <c r="F617" i="1"/>
  <c r="D352" i="1" l="1"/>
  <c r="F353" i="1"/>
  <c r="E1077" i="1"/>
  <c r="E1076" i="1" s="1"/>
  <c r="E1065" i="1" s="1"/>
  <c r="E1059" i="1" s="1"/>
  <c r="E1066" i="1"/>
  <c r="F352" i="1" l="1"/>
  <c r="D209" i="1"/>
  <c r="F209" i="1" l="1"/>
  <c r="D1080" i="1"/>
  <c r="D1079" i="1" s="1"/>
  <c r="D1078" i="1" s="1"/>
  <c r="D1077" i="1" l="1"/>
  <c r="D1076" i="1" s="1"/>
  <c r="D1066" i="1"/>
  <c r="D1065" i="1" l="1"/>
  <c r="F1066" i="1"/>
  <c r="F1065" i="1" l="1"/>
  <c r="D1059" i="1"/>
  <c r="F1059" i="1" l="1"/>
  <c r="D1049" i="1"/>
</calcChain>
</file>

<file path=xl/sharedStrings.xml><?xml version="1.0" encoding="utf-8"?>
<sst xmlns="http://schemas.openxmlformats.org/spreadsheetml/2006/main" count="3148" uniqueCount="1360">
  <si>
    <t xml:space="preserve">         ОТЧЕТ ОБ ИСПОЛНЕНИИ БЮДЖЕТА</t>
  </si>
  <si>
    <t>КОДЫ</t>
  </si>
  <si>
    <t>0503117</t>
  </si>
  <si>
    <r>
      <t xml:space="preserve">                                              </t>
    </r>
    <r>
      <rPr>
        <sz val="10"/>
        <rFont val="Arial Cyr"/>
        <charset val="204"/>
      </rPr>
      <t xml:space="preserve">  на  01</t>
    </r>
    <r>
      <rPr>
        <u/>
        <sz val="10"/>
        <rFont val="Arial Cyr"/>
        <charset val="204"/>
      </rPr>
      <t xml:space="preserve">  ноября  </t>
    </r>
    <r>
      <rPr>
        <sz val="10"/>
        <rFont val="Arial Cyr"/>
        <charset val="204"/>
      </rPr>
      <t>20</t>
    </r>
    <r>
      <rPr>
        <u/>
        <sz val="10"/>
        <rFont val="Arial Cyr"/>
        <charset val="204"/>
      </rPr>
      <t xml:space="preserve"> 25</t>
    </r>
    <r>
      <rPr>
        <sz val="10"/>
        <rFont val="Arial Cyr"/>
        <charset val="204"/>
      </rPr>
      <t xml:space="preserve"> г.</t>
    </r>
  </si>
  <si>
    <t xml:space="preserve">             Дата</t>
  </si>
  <si>
    <t>Наименование</t>
  </si>
  <si>
    <t xml:space="preserve">          по ОКПО</t>
  </si>
  <si>
    <t xml:space="preserve">финансового органа    </t>
  </si>
  <si>
    <t xml:space="preserve">   Городское поселение "ГОРОД АМУРСК"</t>
  </si>
  <si>
    <t xml:space="preserve">    Глава по БК</t>
  </si>
  <si>
    <t>156</t>
  </si>
  <si>
    <t xml:space="preserve">Наименование публично-правового образования   </t>
  </si>
  <si>
    <t>Муниципальное образование городское поселение "Город Амурск"</t>
  </si>
  <si>
    <t xml:space="preserve">        по ОКТМО</t>
  </si>
  <si>
    <t>08603101</t>
  </si>
  <si>
    <t>Периодичность:  месячная</t>
  </si>
  <si>
    <t xml:space="preserve">Единица измерения:  руб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</si>
  <si>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</si>
  <si>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</si>
  <si>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</si>
  <si>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</si>
  <si>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</si>
  <si>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</si>
  <si>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</si>
  <si>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</si>
  <si>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2</t>
  </si>
  <si>
    <t>3</t>
  </si>
  <si>
    <t>Доходы  бюджета - всего</t>
  </si>
  <si>
    <t>010</t>
  </si>
  <si>
    <t>х</t>
  </si>
  <si>
    <t>в том числе</t>
  </si>
  <si>
    <t xml:space="preserve"> </t>
  </si>
  <si>
    <t xml:space="preserve">  </t>
  </si>
  <si>
    <t>000</t>
  </si>
  <si>
    <t>09900000000000000000</t>
  </si>
  <si>
    <t xml:space="preserve">  НАЛОГОВЫЕ И НЕНАЛОГОВЫЕ ДОХОДЫ</t>
  </si>
  <si>
    <t>09910000000000000000</t>
  </si>
  <si>
    <t>ДОХОДЫ ОТ ОКАЗАНИЯ ПЛАТНЫХ УСЛУГ (РАБОТ) И КОМПЕНСАЦИИ ЗАТРАТ ГОСУДАРСТВА</t>
  </si>
  <si>
    <t>09911300000000000000</t>
  </si>
  <si>
    <t>Прочие доходы от оказания платных услуг (работ) получателями средств бюджетов городских поселений (по МКУК "Городская библиотека")</t>
  </si>
  <si>
    <t>09911301995130003130</t>
  </si>
  <si>
    <t>Прочие неналоговые доходы</t>
  </si>
  <si>
    <t>09911700000000000000</t>
  </si>
  <si>
    <t>Невыясненные поступления, зачисляемые в бюджеты городских поселений</t>
  </si>
  <si>
    <t>09911701050130000180</t>
  </si>
  <si>
    <t>Безвозмездные поступления от негосударственных организаций</t>
  </si>
  <si>
    <t>09920400000000000000</t>
  </si>
  <si>
    <t>Прочие безвозмездные поступления от негосударственных организаций в бюджеты городских поселений (по Отделу культуры)</t>
  </si>
  <si>
    <t>09920405099130001150</t>
  </si>
  <si>
    <t>Прочие безвозмездные поступления</t>
  </si>
  <si>
    <t>09920700000000000000</t>
  </si>
  <si>
    <t>Прочие безвозмездные поступления в бюджеты городских поселений (по  МКУК "Амурский городской краеведческий музей")</t>
  </si>
  <si>
    <t>09920705030130002150</t>
  </si>
  <si>
    <t>11200000000000000000</t>
  </si>
  <si>
    <t>11210000000000000000</t>
  </si>
  <si>
    <t xml:space="preserve">  ШТРАФЫ, САНКЦИИ, ВОЗМЕЩЕНИЕ УЩЕРБА</t>
  </si>
  <si>
    <t>11211600000000000000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</si>
  <si>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</si>
  <si>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11211601074010000140</t>
  </si>
  <si>
    <t>15600000000000000000</t>
  </si>
  <si>
    <t>15610000000000000000</t>
  </si>
  <si>
    <t xml:space="preserve"> ГОСУДАРСТВЕННАЯ ПОШЛИНА</t>
  </si>
  <si>
    <t>15610800000000000000</t>
  </si>
  <si>
    <t xml:space="preserve"> 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</si>
  <si>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15610807175010000110</t>
  </si>
  <si>
    <t>Доходы от испольвания имущества, находящегося в государственной и муниципальной собственности</t>
  </si>
  <si>
    <t>15611100000000000000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</si>
  <si>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</si>
  <si>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15611105013130000120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</si>
  <si>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</si>
  <si>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15611105025130000120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</si>
  <si>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</si>
  <si>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15611105035130000120</t>
  </si>
  <si>
    <t>Доходы от сдачи в аренду имущества, составляющего казну городских поселений (за исключением земельных участков)</t>
  </si>
  <si>
    <t>15611105075130000120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</si>
  <si>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</si>
  <si>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15611105410130000120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</si>
  <si>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</si>
  <si>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15611109045130000120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</si>
  <si>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(Реклама)</t>
  </si>
  <si>
    <t>15611109080130001120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</si>
  <si>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(НТО)</t>
  </si>
  <si>
    <t>15611109080130002120</t>
  </si>
  <si>
    <t>15611300000000000000</t>
  </si>
  <si>
    <t>Доходы, поступающие в порядке возмещения расходов, понесенных в связи с эксплуатацией имущества городских поселений</t>
  </si>
  <si>
    <t>15611302065130000130</t>
  </si>
  <si>
    <t>Прочие доходы от компенсации затрат бюджетов городских поселений</t>
  </si>
  <si>
    <t>15611302995130000130</t>
  </si>
  <si>
    <t>Доходы от продажи материальных и нематериальных активов</t>
  </si>
  <si>
    <t>15611400000000000000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</si>
  <si>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</si>
  <si>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15611402053130000440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</si>
  <si>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</si>
  <si>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15611406013130000430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</si>
  <si>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</si>
  <si>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15611406025130000430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</si>
  <si>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</si>
  <si>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15611413090130000410</t>
  </si>
  <si>
    <t>15611600000000000000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</si>
  <si>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</si>
  <si>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15611601157010000140</t>
  </si>
  <si>
    <t xml:space="preserve">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</si>
  <si>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15611607010130000140</t>
  </si>
  <si>
    <t xml:space="preserve">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</si>
  <si>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15611607090130000140</t>
  </si>
  <si>
    <t xml:space="preserve"> 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</si>
  <si>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15611610031130000140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</si>
  <si>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</si>
  <si>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15611610032130000140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</si>
  <si>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</si>
  <si>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15611611064010000140</t>
  </si>
  <si>
    <t>15611700000000000000</t>
  </si>
  <si>
    <t>15611701050130000180</t>
  </si>
  <si>
    <t>Прочие неналоговые доходы бюджетов городских поселений</t>
  </si>
  <si>
    <t>15611705050130000180</t>
  </si>
  <si>
    <t>Прочие неналоговые доходы бюджетов городских поселений- в части средств,  поступающих на восстановление зеленых насаждений</t>
  </si>
  <si>
    <t>15611705050130001180</t>
  </si>
  <si>
    <t>Прочие неналоговые доходы бюджетов городских поселений-по администрации города</t>
  </si>
  <si>
    <t>15611705050130005180</t>
  </si>
  <si>
    <t>БЕЗВОЗМЕЗДНЫЕ ПОСТУПЛЕНИЯ</t>
  </si>
  <si>
    <t>15620000000000000000</t>
  </si>
  <si>
    <t>в том числе:</t>
  </si>
  <si>
    <t>Безвозмездные поступления от других бюджетов бюджетной системы РФ</t>
  </si>
  <si>
    <t>15620200000000000000</t>
  </si>
  <si>
    <t xml:space="preserve"> Дотации бюджетам городских поселений на выравнивание бюджетной обеспеченности из бюджетов муниципальных районов</t>
  </si>
  <si>
    <t>15620216001130000150</t>
  </si>
  <si>
    <t xml:space="preserve"> Прочие дотации бюджетам городских поселений</t>
  </si>
  <si>
    <t>15620219999130000150</t>
  </si>
  <si>
    <t>Субсидии бюджетам городских поселений на финансовое обеспечение дорожной деятельности опорных населенных пунктов от 20 тысяч человек Дальневосточного федерального округа</t>
  </si>
  <si>
    <t>15620225417130000150</t>
  </si>
  <si>
    <t>Субсидии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</si>
  <si>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15620225424130000150</t>
  </si>
  <si>
    <t>Субсидии бюджетам городских поселений на реализацию мероприятий по обеспечению жильем молодых семей</t>
  </si>
  <si>
    <t>15620225497130000150</t>
  </si>
  <si>
    <t>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</si>
  <si>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15620225505130000150</t>
  </si>
  <si>
    <t>Субсидии бюджетам городских поселений на реализацию программ формирования современной городской среды</t>
  </si>
  <si>
    <t>15620225555130000150</t>
  </si>
  <si>
    <t>Прочие субсидии бюджетам городских поселений</t>
  </si>
  <si>
    <t>15620229999130000150</t>
  </si>
  <si>
    <t>Субвенции бюджетам городских поселений на выполнение передаваемых полномочий субъектов Российской Федерации</t>
  </si>
  <si>
    <t>15620230024130000150</t>
  </si>
  <si>
    <t>Межбюджетные трансферты, передаваемые бюджетам городских поселений на финансовое обеспечение дорожной деятельности</t>
  </si>
  <si>
    <t>15620245390130000150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</si>
  <si>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</si>
  <si>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15620245424130000150</t>
  </si>
  <si>
    <t>Прочие межбюджетные трансферты, передаваемые бюджетам городских поселений</t>
  </si>
  <si>
    <t>15620249999130000150</t>
  </si>
  <si>
    <t>15620400000000000000</t>
  </si>
  <si>
    <t>Прочие безвозмездные поступления от негосударственных организаций в бюджеты городских поселений (по администрации городского поселения "Город Амурск")</t>
  </si>
  <si>
    <t>15620405099130005150</t>
  </si>
  <si>
    <t xml:space="preserve">Прочие безвозмездные поступления             </t>
  </si>
  <si>
    <t>15620700000000000000</t>
  </si>
  <si>
    <t>Прочие безвозмездные поступления в бюджеты городских поселений (по администрации городского поселения "Город Амурск")</t>
  </si>
  <si>
    <t>15620705030130005150</t>
  </si>
  <si>
    <t xml:space="preserve">  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</si>
  <si>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15621800000000000000</t>
  </si>
  <si>
    <t>Доходы бюджетов городских поселений от возврата бюджетными учреждениями остатков субсидий прошлых лет</t>
  </si>
  <si>
    <t>15621805010130000150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</si>
  <si>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</si>
  <si>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15621900000000000000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</si>
  <si>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</si>
  <si>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15621960010130000150</t>
  </si>
  <si>
    <t>18200000000000000000</t>
  </si>
  <si>
    <t>18210000000000000000</t>
  </si>
  <si>
    <t>Налоговые доходы</t>
  </si>
  <si>
    <t>18210000000000000110</t>
  </si>
  <si>
    <t>Налог на доходы физических лиц</t>
  </si>
  <si>
    <t>18210102000010000110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</si>
  <si>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</si>
  <si>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</si>
  <si>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</si>
  <si>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</si>
  <si>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</si>
  <si>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</si>
  <si>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</si>
  <si>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18210102020010000110</t>
  </si>
  <si>
    <t xml:space="preserve">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</si>
  <si>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</si>
  <si>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</si>
  <si>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</si>
  <si>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</si>
  <si>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</si>
  <si>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</si>
  <si>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18210102021011000110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</si>
  <si>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</t>
  </si>
  <si>
    <t>18210102022010000110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</si>
  <si>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</si>
  <si>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</si>
  <si>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</si>
  <si>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18210102030010000110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</si>
  <si>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</si>
  <si>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</si>
  <si>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</si>
  <si>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</si>
  <si>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</si>
  <si>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</si>
  <si>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</si>
  <si>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</si>
  <si>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</si>
  <si>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</si>
  <si>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</si>
  <si>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</si>
  <si>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</si>
  <si>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</si>
  <si>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</si>
  <si>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</si>
  <si>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</si>
  <si>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</si>
  <si>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</si>
  <si>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</si>
  <si>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</si>
  <si>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</si>
  <si>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</si>
  <si>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</si>
  <si>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</si>
  <si>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</si>
  <si>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</si>
  <si>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18210102170011000110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</si>
  <si>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</t>
  </si>
  <si>
    <t>18210102200010000110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</si>
  <si>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</si>
  <si>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18210102200011000110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</si>
  <si>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</si>
  <si>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</si>
  <si>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</si>
  <si>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</si>
  <si>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</si>
  <si>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18210102230010000110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</si>
  <si>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</si>
  <si>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</si>
  <si>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 xml:space="preserve">  НАЛОГИ НА ТОВАРЫ (РАБОТЫ, УСЛУГИ), РЕАЛИЗУЕМЫЕ НА ТЕРРИТОРИИ РОССИЙСКОЙ ФЕДЕРАЦИИ</t>
  </si>
  <si>
    <t>18210300000000000000</t>
  </si>
  <si>
    <t xml:space="preserve">  Акцизы по подакцизным товарам (продукции), производимым на территории Российской Федерации</t>
  </si>
  <si>
    <t>18210302000010000110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</si>
  <si>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</si>
  <si>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</si>
  <si>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</si>
  <si>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</si>
  <si>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остановленным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</si>
  <si>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</si>
  <si>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</si>
  <si>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</si>
  <si>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Налоги на совокупный доход</t>
  </si>
  <si>
    <t>18210500000000000110</t>
  </si>
  <si>
    <t>Налог, взимаемый в связи с применением упрощенной системы налогообложения</t>
  </si>
  <si>
    <t>18210501000000000110</t>
  </si>
  <si>
    <t>Налог, взимаемый с налогоплательщиков, выбравших в качестве объекта налогообложения  доходы</t>
  </si>
  <si>
    <t>18210501010010000110</t>
  </si>
  <si>
    <t>18210501011010000110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</si>
  <si>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</si>
  <si>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</si>
  <si>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 xml:space="preserve">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</si>
  <si>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</si>
  <si>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</si>
  <si>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</si>
  <si>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</si>
  <si>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18210501012011000110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</si>
  <si>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</si>
  <si>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18210501012013000110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</si>
  <si>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</si>
  <si>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18210501020010000110</t>
  </si>
  <si>
    <t>18210501021010000110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</si>
  <si>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</si>
  <si>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18210501021011000110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</si>
  <si>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</si>
  <si>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</si>
  <si>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</si>
  <si>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</si>
  <si>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</si>
  <si>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18210501022011000110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</si>
  <si>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</si>
  <si>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18210501022013000110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</si>
  <si>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(прочие поступления)</t>
  </si>
  <si>
    <t>18210501022014000110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</si>
  <si>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</si>
  <si>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</si>
  <si>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18210501050011000110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</si>
  <si>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</si>
  <si>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18210501050012100110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</si>
  <si>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года)(прочие поступления)</t>
  </si>
  <si>
    <t>18210501050014000110</t>
  </si>
  <si>
    <t>Единый налог на вмененный доход для отдельных видов деятельности</t>
  </si>
  <si>
    <t>18210502000020000110</t>
  </si>
  <si>
    <t>18210502010020000110</t>
  </si>
  <si>
    <t xml:space="preserve">  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</si>
  <si>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</si>
  <si>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 xml:space="preserve">  Единый налог на вмененный доход для отдельных видов деятельности (пени по соответствующему платежу)</t>
  </si>
  <si>
    <t>18210502010022100110</t>
  </si>
  <si>
    <t xml:space="preserve">  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</si>
  <si>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18210502010023000110</t>
  </si>
  <si>
    <t xml:space="preserve">  Единый налог на вмененный доход для отдельных видов деятельности (прочие поступления)</t>
  </si>
  <si>
    <t>18210502010024000110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</si>
  <si>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</si>
  <si>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18210502020020000110</t>
  </si>
  <si>
    <t xml:space="preserve"> 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</si>
  <si>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</si>
  <si>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</si>
  <si>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18210502020022100110</t>
  </si>
  <si>
    <t xml:space="preserve">  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</si>
  <si>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18210502020023000110</t>
  </si>
  <si>
    <t xml:space="preserve"> Единый налог на вмененный доход для отдельных видов деятельности (за налоговые периоды, истекшие до 1 января 2011 года) (прочие поступления)</t>
  </si>
  <si>
    <t>18210502020024000110</t>
  </si>
  <si>
    <t>Единый сельскохозяйственный налог</t>
  </si>
  <si>
    <t>18210503000010000110</t>
  </si>
  <si>
    <t>18210503010010000110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</si>
  <si>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</si>
  <si>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</si>
  <si>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 xml:space="preserve"> 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</si>
  <si>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18210503010013000110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</si>
  <si>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</si>
  <si>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18210507000010000110</t>
  </si>
  <si>
    <t xml:space="preserve">  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</si>
  <si>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18210507000011000110</t>
  </si>
  <si>
    <t xml:space="preserve"> Налог, взимаемый в связи с применением специального налогового режима "Автоматизированная упрощенная система налогообложения" (суммы денежных взысканий (штрафов) по соответствующему платежу согласно законодательству Российской Федерации)</t>
  </si>
  <si>
    <t>18210507000013000110</t>
  </si>
  <si>
    <t>Налоги на имущество</t>
  </si>
  <si>
    <t>18210600000000000110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</si>
  <si>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</si>
  <si>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</si>
  <si>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</si>
  <si>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</si>
  <si>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</si>
  <si>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</si>
  <si>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</si>
  <si>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18210601030133000110</t>
  </si>
  <si>
    <t>Транспортный налог</t>
  </si>
  <si>
    <t>18210604000020000110</t>
  </si>
  <si>
    <t>Транспортный налог с организаций</t>
  </si>
  <si>
    <t>18210604011020000110</t>
  </si>
  <si>
    <t xml:space="preserve">  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</si>
  <si>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18210604011021000110</t>
  </si>
  <si>
    <t xml:space="preserve">  Транспортный налог с организаций (пени по соответствующему платежу)</t>
  </si>
  <si>
    <t>18210604011022100110</t>
  </si>
  <si>
    <t xml:space="preserve">  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</si>
  <si>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18210604011023000110</t>
  </si>
  <si>
    <t xml:space="preserve"> Транспортный налог с организаций (прочие поступления)</t>
  </si>
  <si>
    <t>18210604011024000110</t>
  </si>
  <si>
    <t>Транспортный налог с физических лиц</t>
  </si>
  <si>
    <t>18210604012020000110</t>
  </si>
  <si>
    <t xml:space="preserve">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</si>
  <si>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18210604012021000110</t>
  </si>
  <si>
    <t xml:space="preserve"> Транспортный налог с физических лиц (пени по соответствующему платежу)</t>
  </si>
  <si>
    <t>18210604012022100110</t>
  </si>
  <si>
    <t xml:space="preserve"> Транспортный налог с физических лиц (суммы денежных взысканий (штрафов) по соответствующему платежу согласно законодательству Российской Федерации)</t>
  </si>
  <si>
    <t>18210604012023000110</t>
  </si>
  <si>
    <t xml:space="preserve"> Транспортный налог с физических лиц (прочие поступления)</t>
  </si>
  <si>
    <t>18210604012024000110</t>
  </si>
  <si>
    <t>Земельный налог</t>
  </si>
  <si>
    <t>18210606000000000110</t>
  </si>
  <si>
    <t xml:space="preserve"> Земельный налог с организаций, обладающих земельным участком, расположенным в границах городских поселений</t>
  </si>
  <si>
    <t>18210606033130000110</t>
  </si>
  <si>
    <t xml:space="preserve">  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</si>
  <si>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18210606033131000110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</si>
  <si>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</si>
  <si>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18210606033133000110</t>
  </si>
  <si>
    <t>Земельный налог с физических лиц, обладающих земельным участком, расположенным в границах городских поселений</t>
  </si>
  <si>
    <t>18210606043130000110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</si>
  <si>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</si>
  <si>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18210606043131000110</t>
  </si>
  <si>
    <t xml:space="preserve">  Земельный налог с физических лиц,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</si>
  <si>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18210606043133000110</t>
  </si>
  <si>
    <t>ЗАДОЛЖЕННОСТЬ И ПЕРЕРАСЧЕТЫ ПО ОТМЕНЕННЫМ НАЛОГАМ, СБОРАМ И ИНЫМ ОБЯЗАТЕЛЬНЫМ ПЛАТЕЖАМ</t>
  </si>
  <si>
    <t>18210900000000000110</t>
  </si>
  <si>
    <t>Земельный налог (по обязательствам, возникшим до 1 января 2006 года)</t>
  </si>
  <si>
    <t>18210904050000000110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</si>
  <si>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</si>
  <si>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18210904053131000110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</si>
  <si>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</si>
  <si>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18210904053132100110</t>
  </si>
  <si>
    <t>Земельный налог (по обязательствам, возникшим до 1 января 2006 года), мобилизуемый на территориях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</si>
  <si>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18210904053133000110</t>
  </si>
  <si>
    <t>18211600000000000000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</si>
  <si>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</si>
  <si>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18211610123010131140</t>
  </si>
  <si>
    <t xml:space="preserve">  Комитет Правительства Хабаровского края по обеспечению деятельности мировых судей, государственных нотариусов и административных комиссий</t>
  </si>
  <si>
    <t>87200000000000000000</t>
  </si>
  <si>
    <t>87210000000000000000</t>
  </si>
  <si>
    <t>87211600000000000000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</si>
  <si>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</si>
  <si>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87211602020020000140</t>
  </si>
  <si>
    <t>2.Расходы бюджета</t>
  </si>
  <si>
    <t>Код расхода по бюджетной классификации</t>
  </si>
  <si>
    <t>Расходы бюджета - всего</t>
  </si>
  <si>
    <t>x</t>
  </si>
  <si>
    <t xml:space="preserve">  КУЛЬТУРА, КИНЕМАТОГРАФИЯ</t>
  </si>
  <si>
    <t>200</t>
  </si>
  <si>
    <t>099 0800 0000000000 000</t>
  </si>
  <si>
    <t xml:space="preserve">  Культура</t>
  </si>
  <si>
    <t>099 0801 0000000000 000</t>
  </si>
  <si>
    <t>МП "Развитие внутреннего и въездного туризма в городе Амурске".</t>
  </si>
  <si>
    <t>099 0801 2300000000 000</t>
  </si>
  <si>
    <t>Мероприятия, направленные на создание условий для эффективного развития туристской отрасли в городе Амурске в рамках МП "Развитие внутреннего и въездного туризма в городе Амурске"</t>
  </si>
  <si>
    <t>099 0801 2300100801 000</t>
  </si>
  <si>
    <t xml:space="preserve">  Иные закупки товаров, работ и услуг для обеспечения государственных (муниципальных) нужд</t>
  </si>
  <si>
    <t>099 0801 2300100801 240</t>
  </si>
  <si>
    <t xml:space="preserve">  Прочая закупка товаров, работ и услуг</t>
  </si>
  <si>
    <t>099 0801 2300100801 244</t>
  </si>
  <si>
    <t>Мероприятия туристической (событийной) направленности, включая проведение фестивалей, ярмарок выставок, конкурсов, концертов и иных мероприятий, направленных на привлечение туристов в рамках МП "Развитие внутреннего и въездного туризма в городе Амурске"</t>
  </si>
  <si>
    <t>099 0801 2300400801 000</t>
  </si>
  <si>
    <t xml:space="preserve">  Предоставление субсидий бюджетным, автономным учреждениям и иным некоммерческим организациям</t>
  </si>
  <si>
    <t>099 0801 2300400801 600</t>
  </si>
  <si>
    <t xml:space="preserve">  Субсидии бюджетным учреждениям</t>
  </si>
  <si>
    <t>099 0801 2300400801 610</t>
  </si>
  <si>
    <t xml:space="preserve">  Субсидии бюджетным учреждениям на иные цели</t>
  </si>
  <si>
    <t>099 0801 2300400801 612</t>
  </si>
  <si>
    <t>099 0801 23004SС570 000</t>
  </si>
  <si>
    <t>099 0801 23004SС570 600</t>
  </si>
  <si>
    <t>099 0801 23004SС570 610</t>
  </si>
  <si>
    <t>099 0801 23004SС570 612</t>
  </si>
  <si>
    <t>За счет средств местного бюджета</t>
  </si>
  <si>
    <t>За счет средств краевого бюджета</t>
  </si>
  <si>
    <t>МП "Развитие культурно-досугового обслуживания  населения города Амурска"</t>
  </si>
  <si>
    <t>099 0801 2400000000 000</t>
  </si>
  <si>
    <t>Мероприятия, направленные на удовлетворение населения города качеством и доступностью предоставляемых услуг в рамках МП "Развитие культурно-досугового обслуживания населения города Амурска"</t>
  </si>
  <si>
    <t>099 0801 2400100801 000</t>
  </si>
  <si>
    <t>099 0801 2400100801 600</t>
  </si>
  <si>
    <t>099 0801 2400100801 610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</si>
  <si>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</si>
  <si>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099 0801 2400100801 611</t>
  </si>
  <si>
    <r>
      <t xml:space="preserve">Субсидии на повышение оплаты труда МБУК "Дворец культуры"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"Развитие культурно-досугового обслуживания населения города Амурска")</t>
    </r>
  </si>
  <si>
    <t>099 0801 24001SС020 000</t>
  </si>
  <si>
    <t>099 0801 24001SС020 600</t>
  </si>
  <si>
    <t>099 0801 24001SС020 610</t>
  </si>
  <si>
    <t>099 0801 24001SС020 611</t>
  </si>
  <si>
    <t xml:space="preserve"> Проведение городских мероприятий на стационарных площадках "Праздничный город" в рамках МП "Развитие культурно-досугового обслуживания населения города Амурска" </t>
  </si>
  <si>
    <t>099 0801 2400200801 000</t>
  </si>
  <si>
    <t>099 0801 2400200801 600</t>
  </si>
  <si>
    <t>099 0801 2400200801 610</t>
  </si>
  <si>
    <t>099 0801 2400200801 611</t>
  </si>
  <si>
    <t xml:space="preserve">МБУК "Дворец культуры" субсидии бюджетным учреждениям на иные цели в рамках МП "Развитие культурно-досугового обслуживания населения города Амурска" </t>
  </si>
  <si>
    <t>099 0801 2400300801 000</t>
  </si>
  <si>
    <t>099 0801 2400300801 600</t>
  </si>
  <si>
    <t>099 0801 2400300801 610</t>
  </si>
  <si>
    <t>099 0801 2400300801 612</t>
  </si>
  <si>
    <t xml:space="preserve"> Премирование победителей краевых конкурсов в целях поощрения муниципальных образований края за достижение наилучших значений показателей развития отрасли культуры в 2025 году за счет средств краевого бюджета в рамках МП "Развитие культурно-досугового обслуживания населения города Амурска" </t>
  </si>
  <si>
    <t>099 0801 240030И270 000</t>
  </si>
  <si>
    <t>099 0801 240030И270 600</t>
  </si>
  <si>
    <t>099 0801 240030И270 610</t>
  </si>
  <si>
    <t>099 0801 240030И270 612</t>
  </si>
  <si>
    <t>МП "Зеленая планета"</t>
  </si>
  <si>
    <t>099 0801 2600000000 000</t>
  </si>
  <si>
    <t>Мероприятия, направленные на  обеспечение динамичного развития МБУК "Центр досуга"Ботанический сад" как хранилища генофонда экзотических растений в рамках МП "Зеленая планета"</t>
  </si>
  <si>
    <t>099 0801 2600100801 000</t>
  </si>
  <si>
    <t>099 0801 2600100801 600</t>
  </si>
  <si>
    <t>099 0801 2600100801 610</t>
  </si>
  <si>
    <t>099 0801 2600100801 611</t>
  </si>
  <si>
    <r>
      <t xml:space="preserve">Субсидии на повышение оплаты труда МБУК "Ботанический сад"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"Зеленая планета")</t>
    </r>
  </si>
  <si>
    <t>099 0801 26001SС020 000</t>
  </si>
  <si>
    <t>099 0801 26001SС020 600</t>
  </si>
  <si>
    <t>099 0801 26001SС020 610</t>
  </si>
  <si>
    <t>099 0801 26001SС020 611</t>
  </si>
  <si>
    <t>МБУК "Ботанический сад" субсидии бюджетным учреждениям на иные цели  в рамках МП "Зеленая планета"</t>
  </si>
  <si>
    <t>099 0801 2600200801 000</t>
  </si>
  <si>
    <t>099 0801 2600200801 600</t>
  </si>
  <si>
    <t>099 0801 2600200801 610</t>
  </si>
  <si>
    <t>099 0801 2600200801 612</t>
  </si>
  <si>
    <t xml:space="preserve">МП "Музей в культурно-образовательном пространстве"  </t>
  </si>
  <si>
    <t>099 0801 2700000000 000</t>
  </si>
  <si>
    <t xml:space="preserve">Мероприятия, направленные на обеспечение сохранности музейных ценностей, популяризации музейных фондов, повышение доступности и качества музейных услуг в рамках МП "Музей в культурно-образовательном пространстве"  </t>
  </si>
  <si>
    <t>099 0801 2700100801 000</t>
  </si>
  <si>
    <t>099 0801 2700100801 600</t>
  </si>
  <si>
    <t>099 0801 2700100801 610</t>
  </si>
  <si>
    <t>099 0801 2700100801 611</t>
  </si>
  <si>
    <r>
      <t xml:space="preserve">Субсидии на повышение оплаты труда МБУК "АГКМ"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"Музей в культурно-образовательном пространстве") </t>
    </r>
  </si>
  <si>
    <t>099 0801 27001SС020 000</t>
  </si>
  <si>
    <t>099 0801 27001SС020 600</t>
  </si>
  <si>
    <t>099 0801 27001SС020 610</t>
  </si>
  <si>
    <t>099 0801 27001SС020 611</t>
  </si>
  <si>
    <t xml:space="preserve">МБУК "Амурский городской краеведческий музей" субсидии бюджетным учреждениям на иные цели  в рамках МП "Музей в культурно-образовательном пространстве" </t>
  </si>
  <si>
    <t>099 0801 2700200801 000</t>
  </si>
  <si>
    <t>099 0801 2700200801 600</t>
  </si>
  <si>
    <t>099 0801 2700200801 610</t>
  </si>
  <si>
    <t>099 0801 2700200801 612</t>
  </si>
  <si>
    <t>МП "Библиотека - для всех"</t>
  </si>
  <si>
    <t>099 0801 2800000000 000</t>
  </si>
  <si>
    <t xml:space="preserve">  Мероприятия, направленные на создание условий для свободного доступа жителей города Амурска к информации и знаниям для развития творческой активности и информационной обеспеченности, а так же содействие адаптации в обществе, социокультурной реабилитации, развитие творческих возможностей людей с ограниченными возможностями в рамках МП "Библиотека - для всех"</t>
  </si>
  <si>
    <t>099 0801 2800100801 000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</si>
  <si>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</si>
  <si>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099 0801 2800100801 100</t>
  </si>
  <si>
    <t xml:space="preserve">  Расходы на выплаты персоналу казенных учреждений</t>
  </si>
  <si>
    <t>099 0801 2800100801 110</t>
  </si>
  <si>
    <t xml:space="preserve">  Фонд оплаты труда учреждений</t>
  </si>
  <si>
    <t>099 0801 2800100801 111</t>
  </si>
  <si>
    <t xml:space="preserve">  Иные выплаты персоналу учреждений, за исключением фонда оплаты труда</t>
  </si>
  <si>
    <t>099 0801 2800100801 112</t>
  </si>
  <si>
    <t xml:space="preserve">   Взносы по обязательному социальному страхованию на выплаты по оплате труда работников и иные выплаты работникам казенных учреждений
</t>
  </si>
  <si>
    <t>099 0801 2800100801 119</t>
  </si>
  <si>
    <t xml:space="preserve">  Закупка товаров, работ и услуг для государственных (муниципальных) нужд</t>
  </si>
  <si>
    <t>099 0801 2800100801 200</t>
  </si>
  <si>
    <t>099 0801 2800100801 240</t>
  </si>
  <si>
    <t xml:space="preserve">  Закупка товаров, работ, услуг в сфере информационно-коммуникационных технологий</t>
  </si>
  <si>
    <t>099 0801 2800100801 242</t>
  </si>
  <si>
    <t>099 0801 2800100801 244</t>
  </si>
  <si>
    <t xml:space="preserve"> Закупка энергетических ресурсов</t>
  </si>
  <si>
    <t>099 0801 2800100801 247</t>
  </si>
  <si>
    <t xml:space="preserve">  Иные бюджетные ассигнования</t>
  </si>
  <si>
    <t>099 0801 2800100801 800</t>
  </si>
  <si>
    <t xml:space="preserve">  Уплата налогов, сборов и иных платежей</t>
  </si>
  <si>
    <t>099 0801 2800100801 850</t>
  </si>
  <si>
    <t xml:space="preserve">  Уплата налога на имущество организаций и земельного налога</t>
  </si>
  <si>
    <t>099 0801 2800100801 851</t>
  </si>
  <si>
    <t xml:space="preserve">  Уплата прочих налогов, сборов</t>
  </si>
  <si>
    <t>099 0801 2800100801 852</t>
  </si>
  <si>
    <t xml:space="preserve">  Уплата иных платежей</t>
  </si>
  <si>
    <t>099 0801 2800100801 853</t>
  </si>
  <si>
    <r>
      <t xml:space="preserve">Субсидии на повышение оплаты труда МКУК "Городская библиотека"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"Библиотека - для всех")</t>
    </r>
  </si>
  <si>
    <t>099 0801 28001SС020 000</t>
  </si>
  <si>
    <t>099 0801 28001SС020 100</t>
  </si>
  <si>
    <t>099 0801 28001SС020 110</t>
  </si>
  <si>
    <t>099 0801 28001SС020 111</t>
  </si>
  <si>
    <t>099 0801 28001SС020 119</t>
  </si>
  <si>
    <t>МП "Создание условий для обеспечения доступности и сохранности ценных и охраняемых растений Дальнего Востока"</t>
  </si>
  <si>
    <t>099 0801 2900000000 000</t>
  </si>
  <si>
    <t xml:space="preserve">Мероприятия, направленные на обеспечение комплексного развития МБУК "Амурский дендрарий" как хранилища генофонда ценных и охраняемых растений Дальнего Востока в рамках МП "Создание условий для обеспечения доступности и сохранности ценных и охраняемых растений Дальнего Востока"  </t>
  </si>
  <si>
    <t>099 0801 2900100801 000</t>
  </si>
  <si>
    <t>099 0801 2900100801 600</t>
  </si>
  <si>
    <t>099 0801 2900100801 610</t>
  </si>
  <si>
    <t>099 0801 2900100801 611</t>
  </si>
  <si>
    <r>
      <t xml:space="preserve">Субсидии на повышение оплаты труда МБУК "Амурский Дендрарий"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"Сохранение условий для обеспечения доступности и сохранности ценных и охраняемых растений Дальнего Востока")</t>
    </r>
  </si>
  <si>
    <t>099 0801 29001SС020 000</t>
  </si>
  <si>
    <t>099 0801 29001SС020 600</t>
  </si>
  <si>
    <t>099 0801 29001SС020 610</t>
  </si>
  <si>
    <t>099 0801 29001SС020 611</t>
  </si>
  <si>
    <t xml:space="preserve">   Другие вопросы в области культуры, кинематографии</t>
  </si>
  <si>
    <t>099 0804 0000000000 000</t>
  </si>
  <si>
    <t>Руководство и управление в сфере установленных функций органов субъектов РФ и органов местного самоуправления</t>
  </si>
  <si>
    <t>099 0804 7300000000 000</t>
  </si>
  <si>
    <t>Руководство и управление в сфере установленных функций органов  субъектов РФ и органов местного самоуправления</t>
  </si>
  <si>
    <t>099 0804 7300000104 000</t>
  </si>
  <si>
    <t>099 0804 7300000104 100</t>
  </si>
  <si>
    <t xml:space="preserve">  Расходы на выплаты персоналу государственных (муниципальных) органов</t>
  </si>
  <si>
    <t>099 0804 7300000104 120</t>
  </si>
  <si>
    <t xml:space="preserve">  Фонд оплаты труда государственных (муниципальных) органов</t>
  </si>
  <si>
    <t>099 0804 7300000104 121</t>
  </si>
  <si>
    <t xml:space="preserve">  Иные выплаты персоналу государственных (муниципальных) органов, за исключением фонда оплаты труда</t>
  </si>
  <si>
    <t>099 0804 7300000104 122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</si>
  <si>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</si>
  <si>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>099 0804 7300000104 129</t>
  </si>
  <si>
    <t>099 0804 7300000104 200</t>
  </si>
  <si>
    <t>099 0804 7300000104 240</t>
  </si>
  <si>
    <t>099 0804 7300000104 242</t>
  </si>
  <si>
    <t>099 0804 7300000104 244</t>
  </si>
  <si>
    <t>099 0804 7300000104 247</t>
  </si>
  <si>
    <t>099 0804 7300000104 800</t>
  </si>
  <si>
    <t>099 0804 7300000104 850</t>
  </si>
  <si>
    <t>099 0804 7300000104 851</t>
  </si>
  <si>
    <t>099 0804 7300000104 853</t>
  </si>
  <si>
    <t xml:space="preserve">  Обеспечение деятельности подведомственных учреждений </t>
  </si>
  <si>
    <t>099 0804 8710000804 000</t>
  </si>
  <si>
    <t xml:space="preserve">  Обеспечение деятельности в области бухгалтерского учета (МКУ Централизованная бухгалтерия) </t>
  </si>
  <si>
    <t>099 0804 8710100804 000</t>
  </si>
  <si>
    <t>099 0804 8710100804 100</t>
  </si>
  <si>
    <t>099 0804 8710100804 110</t>
  </si>
  <si>
    <t>099 0804 8710100804 111</t>
  </si>
  <si>
    <t>099 0804 8710100804 112</t>
  </si>
  <si>
    <t>099 0804 8710100804 119</t>
  </si>
  <si>
    <t>099 0804 8710100804 200</t>
  </si>
  <si>
    <t>099 0804 8710100804 240</t>
  </si>
  <si>
    <t>099 0804 8710100804 242</t>
  </si>
  <si>
    <t>099 0804 8710100804 244</t>
  </si>
  <si>
    <t>099 0804 8710100804 800</t>
  </si>
  <si>
    <t>099 0804 8710100804 850</t>
  </si>
  <si>
    <t>099 0804 8710100804 853</t>
  </si>
  <si>
    <t>Обеспечение непрофильных функций муниципальных учреждений, подведомственных отделу культуры</t>
  </si>
  <si>
    <t>099 0804 8710200804 000</t>
  </si>
  <si>
    <t>099 0804 8710200804 100</t>
  </si>
  <si>
    <t>099 0804 8710200804 110</t>
  </si>
  <si>
    <t>099 0804 8710200804 111</t>
  </si>
  <si>
    <t>099 0804 8710200804 112</t>
  </si>
  <si>
    <t>099 0804 8710200804 119</t>
  </si>
  <si>
    <t xml:space="preserve">  Социальное обеспечение и иные выплаты населению
</t>
  </si>
  <si>
    <t>099 0804 8710200804 300</t>
  </si>
  <si>
    <t xml:space="preserve">  Социальные выплаты гражданам, кроме публичных нормативных социальных выплат</t>
  </si>
  <si>
    <t>099 0804 8710200804 320</t>
  </si>
  <si>
    <t xml:space="preserve">Пособия, компенсации и иные социальные выплаты гражданам, кроме публичных нормативных обязательств
</t>
  </si>
  <si>
    <t>099 0804 8710200804 321</t>
  </si>
  <si>
    <t>Администрация городского поселения "Города Амурска" Амурского муниципального района Хабаровского края</t>
  </si>
  <si>
    <t>156 0000 0000000000 000</t>
  </si>
  <si>
    <t xml:space="preserve">  ОБЩЕГОСУДАРСТВЕННЫЕ ВОПРОСЫ</t>
  </si>
  <si>
    <t>156 0100 0000000000 000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</si>
  <si>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</si>
  <si>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>156 0102 0000000000 000</t>
  </si>
  <si>
    <t xml:space="preserve">Руководство и управление в сфере установленных функций органов государственной власти субъектов РФ и органов местного самоуправления  </t>
  </si>
  <si>
    <t>156 0102 7100000102 000</t>
  </si>
  <si>
    <t>156 0102 7100000102 100</t>
  </si>
  <si>
    <t>156 0102 7100000102 120</t>
  </si>
  <si>
    <t>156 0102 7100000102 121</t>
  </si>
  <si>
    <t>156 0102 7100000102 129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</si>
  <si>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</si>
  <si>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156 0103 0000000000 000</t>
  </si>
  <si>
    <t xml:space="preserve">  Функционирование законодательных (представительных) органов государственной власти (председатель представительного органа муниципального образования)</t>
  </si>
  <si>
    <t>156 0103 7210000103 000</t>
  </si>
  <si>
    <t>156 0103 7210000103 100</t>
  </si>
  <si>
    <t>156 0103 7210000103 120</t>
  </si>
  <si>
    <t>156 0103 7210000103 121</t>
  </si>
  <si>
    <t>156 0103 7210000103 129</t>
  </si>
  <si>
    <t xml:space="preserve">  Функционирование законодательных (представительных) органов государственной власти (расходы на выплату персоналу государственных (муниципальных органов)</t>
  </si>
  <si>
    <t>156 0103 7220000103 000</t>
  </si>
  <si>
    <t>156 0103 7220000103 100</t>
  </si>
  <si>
    <t>156 0103 7220000103 120</t>
  </si>
  <si>
    <t>156 0103 7220000103 121</t>
  </si>
  <si>
    <t>156 0103 7220000103 122</t>
  </si>
  <si>
    <t xml:space="preserve">  Иные выплаты государственных (муниципальных) органов привлекаемым лицам</t>
  </si>
  <si>
    <t>156 0103 7220000103 123</t>
  </si>
  <si>
    <t>156 0103 7220000103 129</t>
  </si>
  <si>
    <t>156 0103 7220000103 200</t>
  </si>
  <si>
    <t>156 0103 7220000103 240</t>
  </si>
  <si>
    <t>156 0103 7220000103 242</t>
  </si>
  <si>
    <t>156 0103 7220000103 244</t>
  </si>
  <si>
    <t xml:space="preserve">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</si>
  <si>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156 0104 0000000000 000</t>
  </si>
  <si>
    <t>МП "Развитие муниципальной службы в городском поселении "Город Амурск"</t>
  </si>
  <si>
    <t>156 0104 0100000000 000</t>
  </si>
  <si>
    <t xml:space="preserve"> Организация получения дополнительного професионального образования муниципальных служащих (профессиональная переподготовка, повышение квалификации) МП "Развитие муниципальной службы в городском поселении "Город Амурск" </t>
  </si>
  <si>
    <t>156 0104 0100100104 000</t>
  </si>
  <si>
    <t>156 0104 0100100104 100</t>
  </si>
  <si>
    <t>156 0104 0100100104 120</t>
  </si>
  <si>
    <t>156 0104 0100100104 122</t>
  </si>
  <si>
    <t>Обеспечение участия муниципальных служащих в обучающих семинарах, семинарах-совещаниях, конференциях, форумах, в том числе в режиме видеоконференций в рамках МП "Развитие муниципальной службы в городском поселении "Город Амурск"</t>
  </si>
  <si>
    <t>156 0104 0100200104 000</t>
  </si>
  <si>
    <t>156 0104 0100200104 100</t>
  </si>
  <si>
    <t>156 0104 0100200104 120</t>
  </si>
  <si>
    <t>156 0104 0100200104 122</t>
  </si>
  <si>
    <t>156 0104 0100200104 200</t>
  </si>
  <si>
    <t>156 0104 0100200104 240</t>
  </si>
  <si>
    <t>156 0104 0100200104 244</t>
  </si>
  <si>
    <t>Создание условий, направленных на повышение престижа муниципальной службы в рамках МП "Развитие муниципальной службы в городском поселении "Город Амурск"</t>
  </si>
  <si>
    <t>156 0104 0100300104 000</t>
  </si>
  <si>
    <t>156 0104 0100300104 100</t>
  </si>
  <si>
    <t>156 0104 0100300104 120</t>
  </si>
  <si>
    <t>156 0104 0100300104 121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</si>
  <si>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муниципальных) органов
</t>
  </si>
  <si>
    <t>156 0104 0100300104 129</t>
  </si>
  <si>
    <t xml:space="preserve">  Грант бюджетам муниципальных образований в целях поощрения достижения лучших показателей по итогам комплексной оценки эффективности деятельности органов местного самоуправления</t>
  </si>
  <si>
    <t>156 0104 7300000030 000</t>
  </si>
  <si>
    <t>156 0104 7300000030 200</t>
  </si>
  <si>
    <t>156 0104 7300000030 240</t>
  </si>
  <si>
    <t>156 0104 7300000030 244</t>
  </si>
  <si>
    <t xml:space="preserve">  Руководство и управление в сфере установленных функций органов  субъектов РФ и органов местного самоуправления</t>
  </si>
  <si>
    <t>156 0104 7300000104 000</t>
  </si>
  <si>
    <t>156 0104 7300000104 100</t>
  </si>
  <si>
    <t>156 0104 7300000104 120</t>
  </si>
  <si>
    <t>156 0104 7300000104 121</t>
  </si>
  <si>
    <t>156 0104 7300000104 122</t>
  </si>
  <si>
    <t>156 0104 7300000104 129</t>
  </si>
  <si>
    <t>156 0104 7300000104 200</t>
  </si>
  <si>
    <t>156 0104 7300000104 240</t>
  </si>
  <si>
    <t>156 0104 7300000104 242</t>
  </si>
  <si>
    <t>156 0104 7300000104 244</t>
  </si>
  <si>
    <t>156 0104 7300000104 247</t>
  </si>
  <si>
    <t>156 0104 7300000104 800</t>
  </si>
  <si>
    <t>156 0104 7300000104 850</t>
  </si>
  <si>
    <t>156 0104 7300000104 851</t>
  </si>
  <si>
    <t>156 0104 7300000104 852</t>
  </si>
  <si>
    <t>156 0104 7300000104 853</t>
  </si>
  <si>
    <r>
      <t xml:space="preserve">Субвенции на выполнение полномочий по административным правонарушениям </t>
    </r>
    <r>
      <rPr>
        <sz val="9"/>
        <rFont val="Times New Roman"/>
        <family val="1"/>
        <charset val="204"/>
      </rPr>
      <t>за счет краевого бюджета</t>
    </r>
  </si>
  <si>
    <t xml:space="preserve"> 156 0104 730000П320 000</t>
  </si>
  <si>
    <t>156 0104 730000П320 200</t>
  </si>
  <si>
    <t>156 0104 730000П320 240</t>
  </si>
  <si>
    <t>156 0104 730000П320 244</t>
  </si>
  <si>
    <t>Резервные фонды местных администраций</t>
  </si>
  <si>
    <t>156 0104 8400100111 000</t>
  </si>
  <si>
    <t>156 0104 8400100111 200</t>
  </si>
  <si>
    <t>156 0104 8400100111 240</t>
  </si>
  <si>
    <t>156 0104 8400100111 244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</si>
  <si>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</si>
  <si>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156 0106 0000000000 000</t>
  </si>
  <si>
    <t xml:space="preserve">  Прочие межбюджетные трансферты из бюджетов поселений бюджету муниципального района в сфере финансово-бюджетного надзора в соотвествии с заключенными Соглашениями</t>
  </si>
  <si>
    <t>156 0106 8520000070 000</t>
  </si>
  <si>
    <t xml:space="preserve">  Межбюджетные трансферты</t>
  </si>
  <si>
    <t>156 0106 8520000070 500</t>
  </si>
  <si>
    <t xml:space="preserve">  Иные межбюджетные трансферты</t>
  </si>
  <si>
    <t>156 0106 8520000070 540</t>
  </si>
  <si>
    <t xml:space="preserve">  Обеспечение проведения выборов и референдумов</t>
  </si>
  <si>
    <t>156 0107 0000000000 000</t>
  </si>
  <si>
    <t xml:space="preserve">  Проведение выборов в представительные органы муниципального образования</t>
  </si>
  <si>
    <t>156 0107 7420000107 000</t>
  </si>
  <si>
    <t>156 0107 7420000107 800</t>
  </si>
  <si>
    <t xml:space="preserve">  Специальные расходы</t>
  </si>
  <si>
    <t>156 0107 7420000107 880</t>
  </si>
  <si>
    <t xml:space="preserve">  Резервные фонды</t>
  </si>
  <si>
    <t>156 0111 0000000000 000</t>
  </si>
  <si>
    <t xml:space="preserve">  Резервные фонды местных администраций</t>
  </si>
  <si>
    <t>156 0111 8400000111 000</t>
  </si>
  <si>
    <t xml:space="preserve"> Резервные средства</t>
  </si>
  <si>
    <t>156 0111 8400100111 000</t>
  </si>
  <si>
    <t>156 0111 8400100111 800</t>
  </si>
  <si>
    <t xml:space="preserve">  Резервные средства</t>
  </si>
  <si>
    <t>156 0111 8400100111 870</t>
  </si>
  <si>
    <t>Резервный фонд по чрезвычайным ситуациям муниципального образования "Город Амурск"</t>
  </si>
  <si>
    <t>156 0111 8400200111 000</t>
  </si>
  <si>
    <t>156 0111 8400200111 800</t>
  </si>
  <si>
    <t>156 0111 8400200111 870</t>
  </si>
  <si>
    <t xml:space="preserve">  Другие общегосударственные вопросы</t>
  </si>
  <si>
    <t>156 0113 0000000000 000</t>
  </si>
  <si>
    <t>МП "Предупреждение коррупции в городском поселении "Город Амурск"</t>
  </si>
  <si>
    <t>156 0113 0200000000 000</t>
  </si>
  <si>
    <t xml:space="preserve">  Организационно-практические мероприятия антикоррупционного характера в рамках МП "Предупреждение коррупции в городском поселении "Город Амурск"</t>
  </si>
  <si>
    <t>156 0113 0200100113 000</t>
  </si>
  <si>
    <t>156 0113 0200100113 200</t>
  </si>
  <si>
    <t>156 0113 0200100113 240</t>
  </si>
  <si>
    <t>156 0113 0200100113 244</t>
  </si>
  <si>
    <t xml:space="preserve">МП "Содействие развитию местного самоуправления в городском поселении "Город Амурск"  </t>
  </si>
  <si>
    <t>156 0113 0300000000 000</t>
  </si>
  <si>
    <t xml:space="preserve">Поддержка общественных объединений и некоммерческих организаций в рамках МП "Содействие развитию местного самоуправления в городском поселении "Город Амурск"  </t>
  </si>
  <si>
    <t>156 0113 0300100113 000</t>
  </si>
  <si>
    <t>156 0113 0300100113 200</t>
  </si>
  <si>
    <t>156 0113 0300100113 240</t>
  </si>
  <si>
    <t>156 0113 0300100113 244</t>
  </si>
  <si>
    <t>156 0113 0300100113 300</t>
  </si>
  <si>
    <t xml:space="preserve">  Иные выплаты населению
</t>
  </si>
  <si>
    <t>156 0113 0300100113 360</t>
  </si>
  <si>
    <t>156 0113 0300100113 600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</si>
  <si>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</si>
  <si>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156 0113 0300100113 630</t>
  </si>
  <si>
    <t>Субсидии (гранты в форме субсидий), не подлежащие казначейскому сопровождению</t>
  </si>
  <si>
    <t>156 0113 0300100113 633</t>
  </si>
  <si>
    <t xml:space="preserve">Субсидии на проведение мероприятий по поддержке социально-ориентированных некоммерческих организаций (СОНКО) в рамках МП "Содействие развитию местного самоуправления в городском поселении "Город Амурск"  </t>
  </si>
  <si>
    <t>156 0113 03001SС690 000</t>
  </si>
  <si>
    <t>156 0113 03001SС690 600</t>
  </si>
  <si>
    <t>156 0113 03001SС690 630</t>
  </si>
  <si>
    <t>156 0113 03001SС690 633</t>
  </si>
  <si>
    <t>За счет средств краевого бюджетов</t>
  </si>
  <si>
    <t xml:space="preserve">Мероприятия, направленные на поддержку территориального общественного самоуправления в рамках МП "Содействие развитию местного самоуправления в городском поселении "Город Амурск"  </t>
  </si>
  <si>
    <t>156 0113 0300200113 000</t>
  </si>
  <si>
    <t>156 0113 0300200113 200</t>
  </si>
  <si>
    <t>156 0113 0300200113 240</t>
  </si>
  <si>
    <t>156 0113 0300200113 244</t>
  </si>
  <si>
    <t>156 0113 0300200113 600</t>
  </si>
  <si>
    <t>156 0113 0300200113 630</t>
  </si>
  <si>
    <t>156 0113 0300200113 633</t>
  </si>
  <si>
    <r>
      <t xml:space="preserve">Гранты в форме субсидии, направленные на поддержку территориального общественного самоуправления за счет </t>
    </r>
    <r>
      <rPr>
        <b/>
        <i/>
        <sz val="9"/>
        <rFont val="Times New Roman"/>
        <family val="1"/>
        <charset val="204"/>
      </rPr>
      <t>краевого бюджета</t>
    </r>
    <r>
      <rPr>
        <b/>
        <sz val="9"/>
        <rFont val="Times New Roman"/>
        <family val="1"/>
        <charset val="204"/>
      </rPr>
      <t xml:space="preserve"> в рамках МП "Содействие развитию местного самоуправления в городском поселении "Город Амурск"  </t>
    </r>
  </si>
  <si>
    <t>156 0113 030020И150 000</t>
  </si>
  <si>
    <t>156 0113 030020И150 600</t>
  </si>
  <si>
    <t>156 0113 030020И150 630</t>
  </si>
  <si>
    <t>156 0113 030020И150 633</t>
  </si>
  <si>
    <t>МП "Информатизация городского поселения "Город Амурск"</t>
  </si>
  <si>
    <t>156 0113 0400000000 000</t>
  </si>
  <si>
    <t xml:space="preserve">  Мероприятия, направленные на совершествование информационно-технической инфраструктуры органов местного самоуправления города Амурска в рамках МП "Информатизация городского поселения "Город Амурск"</t>
  </si>
  <si>
    <t>156 0113 0400100113 000</t>
  </si>
  <si>
    <t>156 0113 0400100113 200</t>
  </si>
  <si>
    <t>156 0113 0400100113 240</t>
  </si>
  <si>
    <t>156 0113 0400100113 242</t>
  </si>
  <si>
    <t>156 0113 0400100113 244</t>
  </si>
  <si>
    <t xml:space="preserve">МП "Создание условий для эффективного использования муниципального имущества городского поселения "Город Амурск" </t>
  </si>
  <si>
    <t>156 0113 0500000000 000</t>
  </si>
  <si>
    <t xml:space="preserve"> Мероприятия, направленные на проведение оценки рыночной стоимости объектов муниципального имущества и бесхозяйного имущества в рамках МП "Создание условий для эффективного использования мун.имущества городского поселения "Город Амурск" </t>
  </si>
  <si>
    <t>156 0113 0500100113 000</t>
  </si>
  <si>
    <t>156 0113 0500100113 200</t>
  </si>
  <si>
    <t>156 0113 0500100113 240</t>
  </si>
  <si>
    <t>156 0113 0500100113 244</t>
  </si>
  <si>
    <t xml:space="preserve">  Меропрития, направленные на изготовление технической докуменнтации на объекты муниципальной недвижимости в рамках МП "Создание условий для эффективного использования мун.имущества городского поселения "Город Амурск"</t>
  </si>
  <si>
    <t>156 0113 0500200113 000</t>
  </si>
  <si>
    <t>156 0113 0500200113 200</t>
  </si>
  <si>
    <t>156 0113 0500200113 240</t>
  </si>
  <si>
    <t>156 0113 0500200113 244</t>
  </si>
  <si>
    <t xml:space="preserve">Мероприятия, направленные на проведение кадастровых работ земельных участков в рамках МП "Создание условий для эффективного использования мун.имущества городского поселения "Город Амурск"  </t>
  </si>
  <si>
    <t>156 0113 0500300113 000</t>
  </si>
  <si>
    <t>156 0113 0500300113 200</t>
  </si>
  <si>
    <t>156 0113 0500300113 240</t>
  </si>
  <si>
    <t>156 0113 0500300113 244</t>
  </si>
  <si>
    <t xml:space="preserve">Содержание объектов муниципальной собственности в рамках МП "Создание условий для эффективного использования мун.имущества городского поселения "Город Амурск"  </t>
  </si>
  <si>
    <t>156 0113 0500500113 000</t>
  </si>
  <si>
    <t>156 0113 0500500113 200</t>
  </si>
  <si>
    <t>156 0113 0500500113 240</t>
  </si>
  <si>
    <t>156 0113 0500500113 242</t>
  </si>
  <si>
    <t>156 0113 0500500113 244</t>
  </si>
  <si>
    <t>156 0113 0500500113 247</t>
  </si>
  <si>
    <t>156 0113 0500500113 800</t>
  </si>
  <si>
    <t xml:space="preserve">  Исполнение судебных актов</t>
  </si>
  <si>
    <t>156 0113 0500500113 830</t>
  </si>
  <si>
    <t xml:space="preserve">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</si>
  <si>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156 0113 0500500113 831</t>
  </si>
  <si>
    <t>156 0113 0500500113 850</t>
  </si>
  <si>
    <t>156 0113 0500500113 853</t>
  </si>
  <si>
    <t xml:space="preserve">  Другие общегосударственные вопросы (непрограммные расходы)</t>
  </si>
  <si>
    <t>156 0113 8100000000 000</t>
  </si>
  <si>
    <t xml:space="preserve">Реализация государственных функций, связанных с общегосударственным управлением  </t>
  </si>
  <si>
    <t>156 0113 8110000113 000</t>
  </si>
  <si>
    <t>156 0113 8110000113 200</t>
  </si>
  <si>
    <t>156 0113 8110000113 240</t>
  </si>
  <si>
    <t>156 0113 8110000113 244</t>
  </si>
  <si>
    <t xml:space="preserve">  Социальное обеспечение и иные выплаты населению</t>
  </si>
  <si>
    <t>156 0113 8110000113 300</t>
  </si>
  <si>
    <t>Публичные нормативные выплаты гражданам несоциального характера</t>
  </si>
  <si>
    <t>156 0113 8110000113 330</t>
  </si>
  <si>
    <t>156 0113 8110000113 360</t>
  </si>
  <si>
    <t xml:space="preserve">Выполнение других обязательств государства  </t>
  </si>
  <si>
    <t>156 0113 8120000113 000</t>
  </si>
  <si>
    <t>156 0113 8120000113 800</t>
  </si>
  <si>
    <t>156 0113 8120000113 830</t>
  </si>
  <si>
    <t>156 0113 8120000113 831</t>
  </si>
  <si>
    <t>156 0113 8120000113 850</t>
  </si>
  <si>
    <t>156 0113 8120000113 851</t>
  </si>
  <si>
    <t>156 0113 8120000113 852</t>
  </si>
  <si>
    <t>156 0113 8120000113 853</t>
  </si>
  <si>
    <t>156 0113 8400100111 000</t>
  </si>
  <si>
    <t>156 0113 8400100111 300</t>
  </si>
  <si>
    <t>156 0113 8400100111 330</t>
  </si>
  <si>
    <t xml:space="preserve">  НАЦИОНАЛЬНАЯ БЕЗОПАСНОСТЬ И ПРАВООХРАНИТЕЛЬНАЯ ДЕЯТЕЛЬНОСТЬ</t>
  </si>
  <si>
    <t>156 0300 0000000000 000</t>
  </si>
  <si>
    <t xml:space="preserve">  Гражданская оборона</t>
  </si>
  <si>
    <t>156 0309 0000000000 000</t>
  </si>
  <si>
    <t xml:space="preserve">МП "Развитие системы гражданской обороны в городе Амурске"    </t>
  </si>
  <si>
    <t>156 0309 0700000000 000</t>
  </si>
  <si>
    <t xml:space="preserve">Мероприятия, направленные на поддержание сил и средств гражданской обороны в состоянии постоянной готовности в рамках МП "Развитие системы гражданской обороны в городе Амурске"  </t>
  </si>
  <si>
    <t>156 0309 0700100309 000</t>
  </si>
  <si>
    <t>156 0309 0700100309 200</t>
  </si>
  <si>
    <t>156 0309 0700100309 240</t>
  </si>
  <si>
    <t>156 0309 0700100309 244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</si>
  <si>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</si>
  <si>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156 0310 0000000000 000</t>
  </si>
  <si>
    <t xml:space="preserve">МП "Защита населения и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  </t>
  </si>
  <si>
    <t>156 0310 0600000000 000</t>
  </si>
  <si>
    <t xml:space="preserve">Мероприятия по защите населения и территории городского поселения от чрезвычайных ситуаций в рамках МП "Защита населения и 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</si>
  <si>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156 0310 0600100310 000</t>
  </si>
  <si>
    <t>156 0310 0600100310 200</t>
  </si>
  <si>
    <t>156 0310 0600100310 240</t>
  </si>
  <si>
    <t>156 0310 0600100310 244</t>
  </si>
  <si>
    <t xml:space="preserve">Мероприятия по обеспечению безопасности людей на водных объектах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</si>
  <si>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156 0310 0600200310 000</t>
  </si>
  <si>
    <t>156 0310 0600200310 200</t>
  </si>
  <si>
    <t>156 0310 0600200310 240</t>
  </si>
  <si>
    <t>156 0310 0600200310 244</t>
  </si>
  <si>
    <t xml:space="preserve">Мероприятия по обеспечению безопасности на водных объектах (оборудование спасательного поста в месте массового отдыха людей)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  </t>
  </si>
  <si>
    <t>156 0310 06002SС170 000</t>
  </si>
  <si>
    <t>156 0310 06002SС170 200</t>
  </si>
  <si>
    <t>156 0310 06002SС170 240</t>
  </si>
  <si>
    <t>156 0310 06002SС170 244</t>
  </si>
  <si>
    <t xml:space="preserve">  Обеспечение первичных мер пожарной безопасности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</t>
  </si>
  <si>
    <t>156 0310 0600300310 000</t>
  </si>
  <si>
    <t>156 0310 0600300310 200</t>
  </si>
  <si>
    <t>156 0310 0600300310 240</t>
  </si>
  <si>
    <t>156 0310 0600300310 244</t>
  </si>
  <si>
    <t xml:space="preserve">  Мероприятия направленные на обеспечение первичных мер пожарной безопасности для организации оповещения населения о пожаре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</t>
  </si>
  <si>
    <t>156 0310 06003SС440 000</t>
  </si>
  <si>
    <t>156 0310 06003SС440 200</t>
  </si>
  <si>
    <t>156 0310 06003SС440 240</t>
  </si>
  <si>
    <t>156 0310 06003SС440 244</t>
  </si>
  <si>
    <t xml:space="preserve">  Резервные фонды администрации района</t>
  </si>
  <si>
    <t>156 0310 8400200080 000</t>
  </si>
  <si>
    <t>156 0310 8400200080 200</t>
  </si>
  <si>
    <t>156 0310 8400200080 240</t>
  </si>
  <si>
    <t>156 0310 8400200080 244</t>
  </si>
  <si>
    <t xml:space="preserve">  Резервный фонд по чрезвычайным ситуациям муниципального образования "Город Амурск"</t>
  </si>
  <si>
    <t>156 0310 8400200111 000</t>
  </si>
  <si>
    <t>156 0310 8400200111 200</t>
  </si>
  <si>
    <t>156 0310 8400200111 240</t>
  </si>
  <si>
    <t>156 0310 8400200111 244</t>
  </si>
  <si>
    <t xml:space="preserve">  Прочие межбюджетные трансферты из бюджетов поселений бюджету муниципального района в сфере гражданской обороны, защиты населения, предупреждения и ликвидации ЧС в соотвествии с заключенными Соглашениями</t>
  </si>
  <si>
    <t>156 0310 8530000070 000</t>
  </si>
  <si>
    <t>156 0310 8530000070 500</t>
  </si>
  <si>
    <t>156 0310 8530000070 540</t>
  </si>
  <si>
    <t xml:space="preserve">  Другие вопросы в области национальной безопасности и правоохранительной деятельности</t>
  </si>
  <si>
    <t>156 0314 0000000 000 000</t>
  </si>
  <si>
    <t xml:space="preserve">МП "Безопасный город" муниципального образования городское поселение "Город Амурск"  </t>
  </si>
  <si>
    <t>156 0314 0800000000 000</t>
  </si>
  <si>
    <t xml:space="preserve">Мероприятия, направленные на поддержание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</si>
  <si>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156 0314 0800100314 000</t>
  </si>
  <si>
    <t>156 0314 0800100314 200</t>
  </si>
  <si>
    <t>156 0314 0800100314 240</t>
  </si>
  <si>
    <t>156 0314 0800100314 242</t>
  </si>
  <si>
    <t>156 0314 0800100314 244</t>
  </si>
  <si>
    <t xml:space="preserve">Мероприятия, направленные на поддержку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</si>
  <si>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08001SС930 000</t>
  </si>
  <si>
    <t>156 0314 08001SС930 200</t>
  </si>
  <si>
    <t>156 0314 08001SС930 240</t>
  </si>
  <si>
    <t>156 0314 08001SС930 244</t>
  </si>
  <si>
    <t>Мероприятия, направленные на техническое обслуживание уличной системы видеонаблюдения в рамках МП "Безопасный город" муниципального образования городское поселение "Город Амурск"</t>
  </si>
  <si>
    <t>156 0314 0800200314 000</t>
  </si>
  <si>
    <t>156 0314 0800200314 200</t>
  </si>
  <si>
    <t>156 0314 0800200314 240</t>
  </si>
  <si>
    <t>156 0314 0800200314 242</t>
  </si>
  <si>
    <t>156 0314 0800200314 244</t>
  </si>
  <si>
    <t xml:space="preserve">МП "Профилактика терроризма и зкстремизма, а также минимизации и  (или) ликвидации последствий проявлений терроризма и экстремизма"  </t>
  </si>
  <si>
    <t>156 0314 3900000000 000</t>
  </si>
  <si>
    <t xml:space="preserve">Мероприятия, направленные на техническое соответствие антитеррористической защищенности мест массового пребывания людей в рамках МП "Профилактика терроризма и зкстремизма, а также минимизации и  (или) ликвидации последствий проявлений терроризма и экстремизма" </t>
  </si>
  <si>
    <t>156 0314 3900100314 000</t>
  </si>
  <si>
    <t>156 0314 3900100314 200</t>
  </si>
  <si>
    <t>156 0314 3900100314 240</t>
  </si>
  <si>
    <t>156 0314 3900100314 244</t>
  </si>
  <si>
    <t xml:space="preserve">  НАЦИОНАЛЬНАЯ ЭКОНОМИКА</t>
  </si>
  <si>
    <t>156 0400 0000000000 000</t>
  </si>
  <si>
    <t xml:space="preserve">  Сельское хозяйство и рыболовство</t>
  </si>
  <si>
    <t>156 0405 0000000000 000</t>
  </si>
  <si>
    <t xml:space="preserve">МП "Развитие сельского хозяйства в городе Амурске"  </t>
  </si>
  <si>
    <t xml:space="preserve"> 156 0405 0900000000 000</t>
  </si>
  <si>
    <t xml:space="preserve">Мероприятия по организации информационно-методического обеспечения сельхозпроизводителей в рамках МП "Развитие сельского хозяйства в городе Амурске"  </t>
  </si>
  <si>
    <t>156 0405 0900100405 000</t>
  </si>
  <si>
    <t>156 0405 0900100405 200</t>
  </si>
  <si>
    <t>156 0405 0900100405 240</t>
  </si>
  <si>
    <t>156 0405 0900100405 244</t>
  </si>
  <si>
    <t xml:space="preserve">Субсидии садоводческим, огородническим некоммерческим товариществам в части затрат на инженерное обеспечение территорий СНТ, на технологическое присоединение к расположенным за пределами территории СНТ линиям электроснабжения, водоснабжения и водоотведения, на благоустройство земельных участков общего назначения в границах СНТ в рамках МП "Развитие сельского хозяйства в городе Амурске"  </t>
  </si>
  <si>
    <t>156 0405 0900200405 000</t>
  </si>
  <si>
    <t>156 0405 0900200405 600</t>
  </si>
  <si>
    <t>156 0405 0900200405 630</t>
  </si>
  <si>
    <t xml:space="preserve"> Субсидии на возмещение недополученных доходов и (или) возмещение фактически понесенных затрат</t>
  </si>
  <si>
    <t>156 0405 0900200405 631</t>
  </si>
  <si>
    <t xml:space="preserve"> Субсидии из краевого бюджета на софинансирование обязательств муниципальных образований края по поддержке садоводческих, огороднических и дачных некоммерческих объединений в рамках МП "Развитие сельского хозяйства в городском поселении "Город Амурск"  </t>
  </si>
  <si>
    <t>156 0405 09002SС050 000</t>
  </si>
  <si>
    <t>156 0405 09002SС050 600</t>
  </si>
  <si>
    <t>156 0405 09002SС050 630</t>
  </si>
  <si>
    <t>156 0405 09002SС050 631</t>
  </si>
  <si>
    <t>Водное хозяйство</t>
  </si>
  <si>
    <t>156 0406 0000000 000 000</t>
  </si>
  <si>
    <t xml:space="preserve">МП "Развитие водохозяйственного комплекса на территории городского поселения "Город Амурск"  </t>
  </si>
  <si>
    <t xml:space="preserve"> 156 0406 3500000000 000</t>
  </si>
  <si>
    <t xml:space="preserve">Мероприятия, направленные на реконструкцию гидротехнических сооружений (дамбы) в рамках МП "Развитие водохозяйственного комплекса на территории городского поселения "Город Амурск"  </t>
  </si>
  <si>
    <t>156 0406 3500100406 000</t>
  </si>
  <si>
    <t>156 0406 3500100406 200</t>
  </si>
  <si>
    <t>156 0406 3500100406 240</t>
  </si>
  <si>
    <t>156 0406 3500100406 244</t>
  </si>
  <si>
    <t>Транспорт</t>
  </si>
  <si>
    <t>156 0408 0000000 000 000</t>
  </si>
  <si>
    <t>МП "Содержание, ремонт и развитие дорожной сети городского поселения "Город Амурск"</t>
  </si>
  <si>
    <t>156 0408 1100000000 000</t>
  </si>
  <si>
    <t xml:space="preserve"> Организация транспортного обслуживания населения автомобильным транспортом в границах муниципального образования (Приобретение подвижного состава автомобильного транспорта) в рамках МП "Содержание, ремонт и развитие дорожной сети городского поселения "Город Амурск"</t>
  </si>
  <si>
    <t>156 0408 11002SС090 000</t>
  </si>
  <si>
    <t>156 0408 11002SС090 200</t>
  </si>
  <si>
    <t>156 0408 11002SС090 240</t>
  </si>
  <si>
    <t>156 0408 11002SС090 244</t>
  </si>
  <si>
    <t xml:space="preserve">  Закупка товаров, работ и услуг для обеспечения государственных (муниципальных) нужд</t>
  </si>
  <si>
    <t>Обеспечение регулярных пассажирских перевозок автомобильным транспортом по муниципальным маршрутам на территории городского поселения "Город Амурск"</t>
  </si>
  <si>
    <t>156 0408 8320000408 000</t>
  </si>
  <si>
    <t>156 0408 8320000408 200</t>
  </si>
  <si>
    <t>156 0408 8320000408 240</t>
  </si>
  <si>
    <t>156 0408 8320000408 244</t>
  </si>
  <si>
    <t xml:space="preserve">  Дорожное хозяйство (дорожные фонды)</t>
  </si>
  <si>
    <t>156 0409 0000000 000 000</t>
  </si>
  <si>
    <t>156 0409 1100000000 000</t>
  </si>
  <si>
    <t>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</si>
  <si>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156 0409 1100100030 000</t>
  </si>
  <si>
    <t>156 0409 1100100030 200</t>
  </si>
  <si>
    <t>156 0409 1100100030 240</t>
  </si>
  <si>
    <t>156 0409 1100100030 244</t>
  </si>
  <si>
    <t>Ремонт участка автомобильной дороги от заправочной станции до кольцевой транспортной развязки в г. Амурске в рамках МП "Содержание, ремонт и развитие дорожной сети городского поселения "Город Амурск"</t>
  </si>
  <si>
    <t>156 0409 1100100040 000</t>
  </si>
  <si>
    <t>156 0409 1100100040 200</t>
  </si>
  <si>
    <t>156 0409 1100100040 240</t>
  </si>
  <si>
    <t>156 0409 1100100040 244</t>
  </si>
  <si>
    <t>Содержание и 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</si>
  <si>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156 0409 1100100409 000</t>
  </si>
  <si>
    <t>156 0409 1100100409 200</t>
  </si>
  <si>
    <t>156 0409 1100100409 240</t>
  </si>
  <si>
    <t>156 0409 1100100409 244</t>
  </si>
  <si>
    <t>Мероприятия, направленные на финансовое обеспечение дорожной деятельности опорных пунктов от 20 тысяч человек Дальневосточного федерального округа (осуществление ремонта (капитальный ремонт) автомобильных дорог регионального или межмуниципального, местного значения) в рамках МП "Содержание, ремонт и развитие дорожной сети городского поселения "Город Амурск"</t>
  </si>
  <si>
    <t>156 0409 110И854170 000</t>
  </si>
  <si>
    <t>156 0409 110И854170 200</t>
  </si>
  <si>
    <t>156 0409 110И854170 240</t>
  </si>
  <si>
    <t>156 0409 110И854170 244</t>
  </si>
  <si>
    <t>За счет средств федерального и краевого бюджетов</t>
  </si>
  <si>
    <t>МП "Повышение безопасности дорожного движения на территории города Амурска"</t>
  </si>
  <si>
    <t>156 0409 3300000000 000</t>
  </si>
  <si>
    <t>Мероприятия по организации элементов обустройства автомобильных дорог в рамках МП "Повышение безопасности дорожного движения на территории города Амурска"</t>
  </si>
  <si>
    <t>156 0409 3300100409 000</t>
  </si>
  <si>
    <t>156 0409 3300100409 200</t>
  </si>
  <si>
    <t>156 0409 3300100409 240</t>
  </si>
  <si>
    <t>156 0409 3300100409 244</t>
  </si>
  <si>
    <t xml:space="preserve"> Мероприятия, направленные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 в рамках МП "Повышение безопасности дорожного движения на территории города Амурска"</t>
  </si>
  <si>
    <t>156 0409 330И59Д130 000</t>
  </si>
  <si>
    <t>156 0409 330И59Д130 200</t>
  </si>
  <si>
    <t>156 0409 330И59Д130 240</t>
  </si>
  <si>
    <t>156 0409 330И59Д130 244</t>
  </si>
  <si>
    <t>МП "Формирование современной городской среды городского поселения "Город Амурск"</t>
  </si>
  <si>
    <t>156 0409 3700000000 000</t>
  </si>
  <si>
    <t xml:space="preserve"> Мероприятия по капитальному ремонту и ремонту дворовых территорий многоквартирных домов, проездов к дворовым территориям многоквартирных домов в рамках МП "Формирование современной городской среды городского поселения "Город Амурск"</t>
  </si>
  <si>
    <t>156 0409 370049Д210 000</t>
  </si>
  <si>
    <t>156 0409 370049Д210 200</t>
  </si>
  <si>
    <t>156 0409 370049Д210 240</t>
  </si>
  <si>
    <t>156 0409 370049Д210 244</t>
  </si>
  <si>
    <t xml:space="preserve">  Другие вопросы в области национальной экономики</t>
  </si>
  <si>
    <t>156 0412 0000000000 000</t>
  </si>
  <si>
    <t xml:space="preserve">МП "Развитие и поддержка малого и среднего предпринимательства в городе Амурске"  </t>
  </si>
  <si>
    <t>156 0412 1200000000 000</t>
  </si>
  <si>
    <t xml:space="preserve">Мероприятия, направленные на формирование положительного имиджа предпринимательства и пропаганду его социальной значимости в рамках МП "Развитие и поддержка малого и среднего предпринимательства в городе Амурске"  </t>
  </si>
  <si>
    <t>156 0412 1200100412 000</t>
  </si>
  <si>
    <t>156 0412 1200100412 200</t>
  </si>
  <si>
    <t>156 0412 1200100412 240</t>
  </si>
  <si>
    <t>156 0412 1200100412 244</t>
  </si>
  <si>
    <t xml:space="preserve">Социальное обеспечение и иные выплаты населению
</t>
  </si>
  <si>
    <t>156 0412 1200100412 300</t>
  </si>
  <si>
    <t>156 0412 1200100412 360</t>
  </si>
  <si>
    <t xml:space="preserve"> Мероприятия, направленные на совершенствование информационного, образовательного и аналитического обеспечения субъектов малого и среднего предпринимательствав рамках МП "Развитие и поддержка малого и среднего предпринимательства в городе Амурске"</t>
  </si>
  <si>
    <t>156 0412 1200200412 000</t>
  </si>
  <si>
    <t>156 0412 1200200412 200</t>
  </si>
  <si>
    <t>156 0412 1200200412 240</t>
  </si>
  <si>
    <t>156 0412 1200200412 244</t>
  </si>
  <si>
    <t xml:space="preserve"> Субсидии юридическим лицам (кроме некоммерческих организаций), индивидуальным предпринимателям, в том числе предоставляемых на конкурсной основе на возмещение затрат на оплату электроэнергии, топлива, реализацию энергосберегающих мероприятий, приобретение основных средств в рамках МП "Развитие и поддержка малого и среднего предпринимательства в городе Амурске"</t>
  </si>
  <si>
    <t>156 0412 1200300412 000</t>
  </si>
  <si>
    <t>156 0412 1200300412 800</t>
  </si>
  <si>
    <t xml:space="preserve">  Субсидии юридическим лицам (кроме некоммерческих организаций), индивидуальным предпринимателям, физическим лицам</t>
  </si>
  <si>
    <t>156 0412 1200300412 810</t>
  </si>
  <si>
    <t xml:space="preserve"> Субсидии на возмещеие недополученных доходов или возмещение фактически понесенных затрат в связи с производством товаров, выполнением работ, оказанием услуг</t>
  </si>
  <si>
    <t>156 0412 1200300412 811</t>
  </si>
  <si>
    <t>Предоставление субсидий на возмещение затрат на оплату электроэнергии, топлива, реализацию энергосберегающих мероприятий, приобретение основных средств субъектам малого и среднего предпринимательства  в рамках МП "Развитие и поддержка малого и среднего предпринимательства в городе Амурске"</t>
  </si>
  <si>
    <t>156 0412 12003SС260 000</t>
  </si>
  <si>
    <t>156 0412 12003SС260 800</t>
  </si>
  <si>
    <t>156 0412 12003SС260 810</t>
  </si>
  <si>
    <t>156 0412 12003SС260 811</t>
  </si>
  <si>
    <t>МП "Мероприятия в области градостроительной деятельности городского поселения "Город Амурск"</t>
  </si>
  <si>
    <t>156 0412 3000000000 000</t>
  </si>
  <si>
    <t>Выполнение мероприятий по внесению изменений в документы территориального планирования населенных пунктов, в границах которых проходит магистральный трубопровод "Оха - Комсомольск-на- Амуре" в рамках МП "Мероприятия в области градостроительной деятельности городского поселения "Город Амурск"</t>
  </si>
  <si>
    <t>156 0412 3000100412 000</t>
  </si>
  <si>
    <t>156 0412 3000100040 200</t>
  </si>
  <si>
    <t>156 0412 3000100040 240</t>
  </si>
  <si>
    <t>156 0412 3000100040 244</t>
  </si>
  <si>
    <t>Мероприятия, направленные на софинансирование в целях разработки градостроительной документации в рамках МП "Мероприятия в области градостроительной деятельности городского поселения "Город Амурск"</t>
  </si>
  <si>
    <t>156 0412 30001SС200 000</t>
  </si>
  <si>
    <t>156 0412 30001SС2002 200</t>
  </si>
  <si>
    <t>156 0412 30001SС200 240</t>
  </si>
  <si>
    <t>156 0412 30001SС200 244</t>
  </si>
  <si>
    <t xml:space="preserve">  ЖИЛИЩНО-КОММУНАЛЬНОЕ ХОЗЯЙСТВО</t>
  </si>
  <si>
    <t>156 0500 0000000000 000</t>
  </si>
  <si>
    <t xml:space="preserve">  Жилищное хозяйство</t>
  </si>
  <si>
    <t>156 0501 0000000000 000</t>
  </si>
  <si>
    <t xml:space="preserve">МП "Содержание и ремонт жилого фонда в городе Амурске"  </t>
  </si>
  <si>
    <t xml:space="preserve"> 156 0501 3600000000 000</t>
  </si>
  <si>
    <t xml:space="preserve">Мероприятия, направленные на ремонт муниципальных жилых помещений, в рамках МП "Содержание и ремонт жилого фонда в городе Амурске"  </t>
  </si>
  <si>
    <t>156 0501 3600100501 000</t>
  </si>
  <si>
    <t>156 0501 3600100501 200</t>
  </si>
  <si>
    <t>156 0501 3600100501 240</t>
  </si>
  <si>
    <t>156 0501 3600100501 244</t>
  </si>
  <si>
    <t xml:space="preserve">Ежемесячные взносы на капитальный ремонт общего имущества многоквартирных домов за жилые и нежилые помещения, находящихся в собственности городского поселения "Город Амурск" в рамках МП "Содержание и ремонт жилого фонда в городе Амурске"  </t>
  </si>
  <si>
    <t>156 0501 3600200501 000</t>
  </si>
  <si>
    <t>156 0501 3600200501 800</t>
  </si>
  <si>
    <t>156 0501 3600200501 850</t>
  </si>
  <si>
    <t>156 0501 3600200501 853</t>
  </si>
  <si>
    <t xml:space="preserve">Мероприятия, направленные на совершенствование системы организации расчетов населения за ЖКУ, аварийное обслуживание многоквартирных домов ( без управления) в рамках МП "Содержание и ремонт жилого фонда в городе Амурске"  </t>
  </si>
  <si>
    <t>156 0501 3600300501 000</t>
  </si>
  <si>
    <t>156 0501 3600300501 200</t>
  </si>
  <si>
    <t>156 0501 3600300501 240</t>
  </si>
  <si>
    <t>156 0501 3600300501 244</t>
  </si>
  <si>
    <t xml:space="preserve">Мероприятия по выплате выкупной цены (возмещение) собственнику жилого помещения в многоквартирном доме, признанном аварийным и подлежащим сносу в рамках МП "Содержание и ремонт жилого фонда в городе Амурске"  </t>
  </si>
  <si>
    <t>156 0501 3600400501 000</t>
  </si>
  <si>
    <t>156 0501 3600400501 800</t>
  </si>
  <si>
    <t>156 0501 3600400501 850</t>
  </si>
  <si>
    <t>156 0501 3600400501 853</t>
  </si>
  <si>
    <t>Субсидии муниципальному унитарному предприятию "Амурский расчетно-кассовый центр" городского поселения "Город Амурск", в целях возмещения части затрат по ведению регистрационного учета граждан, проживающих в муниципальных жилых помещениях городского поселения "Город Амурск"</t>
  </si>
  <si>
    <t>156 0501 8380000501 000</t>
  </si>
  <si>
    <t>156 0501 8380000501 800</t>
  </si>
  <si>
    <t>156 0501 8380000501 810</t>
  </si>
  <si>
    <t>156 0501 8380000501 811</t>
  </si>
  <si>
    <t>156 0501 8400100111 000</t>
  </si>
  <si>
    <t>156  0501 8400100111 200</t>
  </si>
  <si>
    <t>156  0501 8400100111 240</t>
  </si>
  <si>
    <t>156  0501 8400100111 244</t>
  </si>
  <si>
    <t>156 0501 8400200111 000</t>
  </si>
  <si>
    <t>156  0501 8400200111 200</t>
  </si>
  <si>
    <t>156  0501 8400200111 240</t>
  </si>
  <si>
    <t>156  0501 8400200111 244</t>
  </si>
  <si>
    <t xml:space="preserve">  Коммунальное хозяйство</t>
  </si>
  <si>
    <t>156 0502 0000000000 000</t>
  </si>
  <si>
    <t>МП "Восстановление ливневой канализации на территории городского поселения "Город Амурск"</t>
  </si>
  <si>
    <t>156 0502 1300000000 000</t>
  </si>
  <si>
    <t xml:space="preserve"> Мероприятия, направленные на ремонт и прочистку сетей ливневой канализации  в рамках МП "Восстановление ливневой канализации на территории городского поселения "Город Амурск"</t>
  </si>
  <si>
    <t>156 0502 1300100502 000</t>
  </si>
  <si>
    <t>156 0502 1300100502 200</t>
  </si>
  <si>
    <t>156 0502 1300100502 240</t>
  </si>
  <si>
    <t>156 0502 1300100502 244</t>
  </si>
  <si>
    <t xml:space="preserve"> Мероприятия, направленные на развитие системы ливневой канализации в рамках МП "Восстановление ливневой канализации на территории городского поселения "Город Амурск"</t>
  </si>
  <si>
    <t>156 0502 1300200502 000</t>
  </si>
  <si>
    <t>156 0502 1300200502 200</t>
  </si>
  <si>
    <t>156 0502 1300200502 240</t>
  </si>
  <si>
    <t>156 0502 1300200502 244</t>
  </si>
  <si>
    <t xml:space="preserve">МП "Чистая вода на территории городского поселения "Город Амурск"  </t>
  </si>
  <si>
    <t>156 0502 1400000000 000</t>
  </si>
  <si>
    <t xml:space="preserve">Мероприятия на объектах водопроводного хозяйства в рамках МП "Чистая вода на территории городского поселения "Город Амурск"  </t>
  </si>
  <si>
    <t>156 0502 1400100502 000</t>
  </si>
  <si>
    <t>156 0502 1400100502 800</t>
  </si>
  <si>
    <t>156 0502 1400100502 810</t>
  </si>
  <si>
    <t>156 0502 1400100502 811</t>
  </si>
  <si>
    <t xml:space="preserve">Расходы по финансированию части затрат на выполнение мероприятий предусмотренных концессионным соглашением на объектах канализационного хозяйства в рамках МП "Чистая вода на территории городского поселения "Город Амурск"  </t>
  </si>
  <si>
    <t>156 0502 1400200502 000</t>
  </si>
  <si>
    <t>156 0502 1400200502 800</t>
  </si>
  <si>
    <t>156 0502 1400200502 810</t>
  </si>
  <si>
    <t>156 0502 1400200502 811</t>
  </si>
  <si>
    <t xml:space="preserve">МП "Энергосбережение и повышение энергетической эффективности в городском поселении "Город Амурск"  </t>
  </si>
  <si>
    <t>156 0502 1800000000 000</t>
  </si>
  <si>
    <t xml:space="preserve"> Энергосберегающие мероприятия в рамках МП "Энергосбережение и повышение энергетической эффективности в городском поселении "Город Амурск"</t>
  </si>
  <si>
    <t>156 0502 1800200502 000</t>
  </si>
  <si>
    <t>156 0502 1800200502 200</t>
  </si>
  <si>
    <t>156 0502 1800200502 240</t>
  </si>
  <si>
    <t>156 0502 1800200502 244</t>
  </si>
  <si>
    <t xml:space="preserve"> Мероприятия, направленные на приобретение и поставку блочно-модульной энергетической установки на ст.Мылки в рамках МП "Энергосбережение и повышение энергетической эффективности в городском поселении "Город Амурск"</t>
  </si>
  <si>
    <t>156 0502 18002SС560 000</t>
  </si>
  <si>
    <t>156 0502 18002SС560 200</t>
  </si>
  <si>
    <t>156 0502 18002SС560 240</t>
  </si>
  <si>
    <t>156 0502 18002SС560 244</t>
  </si>
  <si>
    <t>МП "Комплексное освоение территории для развития малоэтажного строительства в городе Амурск"</t>
  </si>
  <si>
    <t>156 0502 3400000000 000</t>
  </si>
  <si>
    <t>Технологическое присоединение к электрическим сетям, в целях создания условий подключения к электроснабжению объектов малоэтажного индивидуального жилищного строительства, осуществляемого семьями, имеющими трёх и более детей в рамках МП "Комплексное освоение территории для развития малоэтажного строительства в городе Амурск"</t>
  </si>
  <si>
    <t>156 0502 3400100502 000</t>
  </si>
  <si>
    <t>156 0502 3400100502 200</t>
  </si>
  <si>
    <t>156 0502 3400100502 240</t>
  </si>
  <si>
    <t>156 0502 3400100502 244</t>
  </si>
  <si>
    <t xml:space="preserve">  Коммунальное хозяйство (другие непрограммные расходы)</t>
  </si>
  <si>
    <t>156 0502 8000000000 000</t>
  </si>
  <si>
    <t>Субсидии ООО "Гарант" на финансовое обеспечение затрат, в связи с реализацией услуг по отоплению многоквартирного дома станции Мылки городского поселения "Город Амурск"</t>
  </si>
  <si>
    <t>156 0502 8310000502 000</t>
  </si>
  <si>
    <t>156 0502 8310000502 800</t>
  </si>
  <si>
    <t>156 0502 8310000502 810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</si>
  <si>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</si>
  <si>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156 0502 8310000502 813</t>
  </si>
  <si>
    <t>156 0502 8400100111 000</t>
  </si>
  <si>
    <t>156 0502 8400100111 200</t>
  </si>
  <si>
    <t>156 0502 8400100111 240</t>
  </si>
  <si>
    <t>156 0502 8400100111 244</t>
  </si>
  <si>
    <t>156 0502 8400200111 000</t>
  </si>
  <si>
    <t>156 0502 8400200111 200</t>
  </si>
  <si>
    <t>156 0502 8400200111 240</t>
  </si>
  <si>
    <t>156 0502 8400200111 244</t>
  </si>
  <si>
    <t xml:space="preserve">  Благоустройство</t>
  </si>
  <si>
    <t>156 0503 0000000000 000</t>
  </si>
  <si>
    <t xml:space="preserve">МП "Организация уличного освещения в городе Амурске"  </t>
  </si>
  <si>
    <t>156 0503 1500000000 000</t>
  </si>
  <si>
    <t xml:space="preserve">Содержание, ремонт и строительство новых линий уличного освещения и светофорных объектов в рамках МП "Организация уличного освещения в городе Амурске"  </t>
  </si>
  <si>
    <t>156 0503 1500100503 000</t>
  </si>
  <si>
    <t>156 0503 1500100503 200</t>
  </si>
  <si>
    <t>156 0503 1500100503 240</t>
  </si>
  <si>
    <t>156 0503 1500100503 244</t>
  </si>
  <si>
    <t xml:space="preserve">Электроснабжение сетей уличного освещения города Амурска в рамках МП "Организация уличного освещения в городе Амурске"  </t>
  </si>
  <si>
    <t>156 0503 1500200503 000</t>
  </si>
  <si>
    <t>156 0503 1500200503 200</t>
  </si>
  <si>
    <t>156 0503 1500200503 240</t>
  </si>
  <si>
    <t>156 0503 1500200503 247</t>
  </si>
  <si>
    <t xml:space="preserve">МП "Развитие и содержание мест погребения в городском поселении "Город Амурск"  </t>
  </si>
  <si>
    <t>156 0503 1700000000 000</t>
  </si>
  <si>
    <t xml:space="preserve">Мероприятия, направленные на содержание мест погребения в рамках МП "Развитие и содержание мест погребения в городском поселении "Город Амурск"  </t>
  </si>
  <si>
    <t>156 0503 1700100503 000</t>
  </si>
  <si>
    <t>156 0503 1700100503 200</t>
  </si>
  <si>
    <t>156 0503 1700100503 240</t>
  </si>
  <si>
    <t>156 0503 1700100503 244</t>
  </si>
  <si>
    <t xml:space="preserve">Мероприятия по доставке невостребованных тел в морг в рамках МП "Развитие и содержание мест погребения в городском поселении "Город Амурск"  </t>
  </si>
  <si>
    <t>156 0503 1700200503 000</t>
  </si>
  <si>
    <t>156 0503 1700200503 200</t>
  </si>
  <si>
    <t>156 0503 1700200503 240</t>
  </si>
  <si>
    <t>156 0503 1700200503 244</t>
  </si>
  <si>
    <t xml:space="preserve"> Мероприятия, направленные на разработку кварталов для погребения в рамках МП "Организация и содержание мест погребения в городском поселении "Город Амурск"  </t>
  </si>
  <si>
    <t>156 0503 1700300503 000</t>
  </si>
  <si>
    <t>156 0503 1700300503 200</t>
  </si>
  <si>
    <t>156 0503 1700300503 240</t>
  </si>
  <si>
    <t>156 0503 1700300503 244</t>
  </si>
  <si>
    <t xml:space="preserve">Мероприятия по захоронению невостребованных умерших в рамках МП "Развитие и содержание мест погребения в городском поселении "Город Амурск"  </t>
  </si>
  <si>
    <t>156 0503 1700400503 000</t>
  </si>
  <si>
    <t>156 0503 1700400503 200</t>
  </si>
  <si>
    <t>156 0503 1700400503 240</t>
  </si>
  <si>
    <t>156 0503 1700400503 244</t>
  </si>
  <si>
    <t xml:space="preserve">Реализация мероприятий по благоустройству воинских захоронений в рамках МП "Организация и содержание мест погребения в городском поселении "Город Амурск"  </t>
  </si>
  <si>
    <t>156 0503 1700500503 000</t>
  </si>
  <si>
    <t>156 0503 1700500503 200</t>
  </si>
  <si>
    <t>156 0503 1700500503 240</t>
  </si>
  <si>
    <t>156 0503 1700500503 244</t>
  </si>
  <si>
    <t xml:space="preserve">МП "Доступная среда" в городском поселении "Город Амурск""  </t>
  </si>
  <si>
    <t>156 0503 3100000000 000</t>
  </si>
  <si>
    <t>Мероприятия по формированию доступной среды жизнедеятельности инвалидов в сфере жилищно-коммунального хозяйства в рамках МП "Доступная среда"   в городском поселении "Город Амурск"</t>
  </si>
  <si>
    <t>156 0503 3100100503 000</t>
  </si>
  <si>
    <t>156 0503 3100100503 200</t>
  </si>
  <si>
    <t>156 0503 3100100503 240</t>
  </si>
  <si>
    <t>156 0503 3100100503 244</t>
  </si>
  <si>
    <t>МП "Формирование современной городской среды" городского поселения "Город Амурск"</t>
  </si>
  <si>
    <t>156 0503 3700000000 000</t>
  </si>
  <si>
    <t>Субсидии на возмещение фактически понесенных затрат по благоустройству дворовых территорий многоквартирных домов, включенных в План социального развититя центров экономического роста Хабаровского края за счет местного бюджетав рамках МП "Формирование современной городской среды" городского поселения "Город Амурск"</t>
  </si>
  <si>
    <t>156 0503 3700100503000</t>
  </si>
  <si>
    <t>156 0503 3700100503 200</t>
  </si>
  <si>
    <t>156 0503 3700100503 240</t>
  </si>
  <si>
    <t>156 0503 3700100503 244</t>
  </si>
  <si>
    <t>Реализация мероприятий, связанных с благоустройством дворовых территорий многоквартирных домов городского поселения "Город Амурск", включенных в План социального развития центров экономического роста субъектов Российской Федерации  в рамках МП "Формирование современной городской среды" городского поселения "Город Амурск"</t>
  </si>
  <si>
    <t>156 0503 37001L5050 000</t>
  </si>
  <si>
    <t>156 0503 37001L5050 800</t>
  </si>
  <si>
    <t>156 0503 37001L5050 810</t>
  </si>
  <si>
    <t>156 0503 37001L5050 811</t>
  </si>
  <si>
    <t>Мероприятия, направленные на реализацию муниципальных программ формирования современной городской среды по благоустройству общественных территорий в рамках МП "Формирование современной городской среды" городского поселения "Город Амурск"</t>
  </si>
  <si>
    <t>156 0503 3700200503 000</t>
  </si>
  <si>
    <t>156 0503 3700200503 200</t>
  </si>
  <si>
    <t>156 0503 3700200503 240</t>
  </si>
  <si>
    <t>156 0503 3700200503 244</t>
  </si>
  <si>
    <t xml:space="preserve"> Мероприятия, направленные на благоустройство общественной территории - победителя всероссийского конкурса лучших проектов создания комфортной городской среды  в рамках МП "Формирование современной городской среды городского поселения "Город Амурск"</t>
  </si>
  <si>
    <t>156 0503 3700500503 000</t>
  </si>
  <si>
    <t>156 0503 3700500503 200</t>
  </si>
  <si>
    <t>156 0503 3700500503 240</t>
  </si>
  <si>
    <t>156 0503 3700500503 244</t>
  </si>
  <si>
    <t>156 0503 3700500503 600</t>
  </si>
  <si>
    <t>156 0503 3700500503 610</t>
  </si>
  <si>
    <t>156 0503 3700500503 611</t>
  </si>
  <si>
    <t>156 0503 3700500503 612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</si>
  <si>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 за счет средств краевого бюджета</t>
  </si>
  <si>
    <t>156 0503 370И454240 000</t>
  </si>
  <si>
    <t>156 0503 370И454240 600</t>
  </si>
  <si>
    <t>156 0503 370И454240 610</t>
  </si>
  <si>
    <t>156 0503 370И454240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</si>
  <si>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</t>
  </si>
  <si>
    <t>156 0503 370И45424К 000</t>
  </si>
  <si>
    <t>156 0503 370И45424К 600</t>
  </si>
  <si>
    <t>156 0503 370И45424К 610</t>
  </si>
  <si>
    <t>156 0503 370И45424К 612</t>
  </si>
  <si>
    <t>156 0503 370И45555А 000</t>
  </si>
  <si>
    <t>156 0503 370И45555А 200</t>
  </si>
  <si>
    <t>156 0503 370И45555А 240</t>
  </si>
  <si>
    <t>156 0503 370И45555А 244</t>
  </si>
  <si>
    <t xml:space="preserve">МП "Благоустройство территорий общего пользования в городском поселении "Город Амурск"  </t>
  </si>
  <si>
    <t>156 0503 4000000000 000</t>
  </si>
  <si>
    <t>Мероприятия, направленные на повышение уровня благоустройства города в рамках МП "Благоустройство территории общего пользования в городском поселении "Город Амурск"</t>
  </si>
  <si>
    <t>156 0503 4000100503 000</t>
  </si>
  <si>
    <t>156 0503 4000100503 200</t>
  </si>
  <si>
    <t>156 0503 4000100503 240</t>
  </si>
  <si>
    <t>156 0503 4000100503 244</t>
  </si>
  <si>
    <t>Мероприятия, направленные на обустройство пешеходных зон в рамках МП "Благоустройство территории общего пользования в городском поселении "Город Амурск"</t>
  </si>
  <si>
    <t>156 0503 4000200503 000</t>
  </si>
  <si>
    <t>156 0503 4000200503 200</t>
  </si>
  <si>
    <t>156 0503 4000200503 240</t>
  </si>
  <si>
    <t>156 0503 4000200503 244</t>
  </si>
  <si>
    <t>Обеспечение деятельности (выполнение работ) муниципальных учреждений (муниципальное бюджетное учреждение "Амурская территория комфорта" МБУ "АТК") в рамках МП "Благоустройство территории общего пользования в городском поселении "Город Амурск"</t>
  </si>
  <si>
    <t>156 0503 4000300503 000</t>
  </si>
  <si>
    <t>156 0503 4000300503 600</t>
  </si>
  <si>
    <t>156 0503 4000300503 610</t>
  </si>
  <si>
    <t>156 0503 4000300503 611</t>
  </si>
  <si>
    <t>156 0503 4000300503 612</t>
  </si>
  <si>
    <t>156 0503 8400100111 000</t>
  </si>
  <si>
    <t>156 0503 8400100111 200</t>
  </si>
  <si>
    <t>156 0503 8400100111 240</t>
  </si>
  <si>
    <t>156 0503 8400100111 244</t>
  </si>
  <si>
    <t xml:space="preserve">  ОБРАЗОВАНИЕ</t>
  </si>
  <si>
    <t>156 0700 0000000000 000</t>
  </si>
  <si>
    <t>Профессиональная подготовка,переподготовка и повышение квалификации</t>
  </si>
  <si>
    <t>156 0705 0000000000 000</t>
  </si>
  <si>
    <t>156 0705 0100000000 000</t>
  </si>
  <si>
    <t xml:space="preserve">Профессиональная подготовка, переподготовка и повышение квалификации в рамках МП  «Развитие муниципальной службы в городском поселении «Город Амурск» </t>
  </si>
  <si>
    <t>156 0705 0100100705 000</t>
  </si>
  <si>
    <t>156 0705 0100100705 200</t>
  </si>
  <si>
    <t>156 0705 0100100705 240</t>
  </si>
  <si>
    <t>156 0705 0100100705 244</t>
  </si>
  <si>
    <t xml:space="preserve">Мероприятия по организации дополнительного профессионального образования лиц, замещающих выборные муниципальные должности, муниципальных служащих в рамках МП  «Развитие муниципальной службы в городском поселении «Город Амурск» </t>
  </si>
  <si>
    <t>156 0705 01001SС310 000</t>
  </si>
  <si>
    <t>156 0705 01001SС310 200</t>
  </si>
  <si>
    <t>156 0705 01001SС310 240</t>
  </si>
  <si>
    <t>156 0705 01001SС310 244</t>
  </si>
  <si>
    <t xml:space="preserve">  Молодежная политика </t>
  </si>
  <si>
    <t>156 0707 0000000000 000</t>
  </si>
  <si>
    <t xml:space="preserve">МП "Молодежь города Амурска"  </t>
  </si>
  <si>
    <t>156 0707 1900000000 000</t>
  </si>
  <si>
    <t xml:space="preserve">Проведение мероприятий для детей и молодежи в рамках МП "Молодежь города Амурска"  </t>
  </si>
  <si>
    <t>156 0707 1900100707 000</t>
  </si>
  <si>
    <t>156 0707 1900100707 200</t>
  </si>
  <si>
    <t>156 0707 1900100707 240</t>
  </si>
  <si>
    <t>156 0707 1900100707 244</t>
  </si>
  <si>
    <t>156 0707 1900100707 300</t>
  </si>
  <si>
    <t>156 0707 1900100707 360</t>
  </si>
  <si>
    <t xml:space="preserve">МП "Организация временного трудоустройства несовершеннолетних в летний период в городе  Амурске"  </t>
  </si>
  <si>
    <t>156 0707 2000000000 000</t>
  </si>
  <si>
    <t xml:space="preserve">Организация временного трудоустройства несовершеннолетних в летний период в рамках МП "Организация временного трудоустройства несовершеннолетних в летний период в городе  Амурске"  </t>
  </si>
  <si>
    <t>156 0707 2000100707 000</t>
  </si>
  <si>
    <t>156 0707 2000100707 300</t>
  </si>
  <si>
    <t>156 0707 2000100707 360</t>
  </si>
  <si>
    <t xml:space="preserve">  СОЦИАЛЬНАЯ ПОЛИТИКА</t>
  </si>
  <si>
    <t>156 1000 0000000000 000</t>
  </si>
  <si>
    <t xml:space="preserve">  Пенсионное обеспечение</t>
  </si>
  <si>
    <t>156 1001 0000000000 000</t>
  </si>
  <si>
    <t xml:space="preserve">МП "Развитие муниципальной службы в городском поселении "Город Амурск" </t>
  </si>
  <si>
    <t>156 1001 0100000000 000</t>
  </si>
  <si>
    <t xml:space="preserve">Компенсационные выплаты к пенсии за выслугу лет за счет местного бюджета в рамках МП "Развитие муниципальной службы в городском поселении "Город Амурск" </t>
  </si>
  <si>
    <t>156 1001 0100501001 000</t>
  </si>
  <si>
    <t>156 1001 0100501001 300</t>
  </si>
  <si>
    <t>156 1001 0100501001 320</t>
  </si>
  <si>
    <t>156 1001 0100501001 321</t>
  </si>
  <si>
    <t xml:space="preserve">  Охрана семьи и детства</t>
  </si>
  <si>
    <t>156 1004 0000000000 000</t>
  </si>
  <si>
    <t xml:space="preserve">МП "Обеспечение жильем молодых семей в городе Амурске"  </t>
  </si>
  <si>
    <t>156 1004 2100000000 000</t>
  </si>
  <si>
    <t>Предоставление социальной выплаты молодым семьям на приобретение жилого помещения или создания объекта индивидуального жилищного строительства в рамках МП "Обеспечение жильем молодых семей в городе Амурске"</t>
  </si>
  <si>
    <t>156 1004 2100101004 000</t>
  </si>
  <si>
    <t>156 1004  2100101004 300</t>
  </si>
  <si>
    <t>156 1004  2100101004 320</t>
  </si>
  <si>
    <t xml:space="preserve">  Субсидии гражданам на приобретение жилья</t>
  </si>
  <si>
    <t>156 1004  2100101004 322</t>
  </si>
  <si>
    <t xml:space="preserve">Cофинансирование расходных обязательств молодым семьям на приобретение жилого помещения или создания объекта индивидуального жилищноно строительства в рамках МП "Обеспечение жильем молодых семей в городе Амурске"  </t>
  </si>
  <si>
    <t>156 1004 21001L497M 000</t>
  </si>
  <si>
    <t>156 1004 21001L497M 300</t>
  </si>
  <si>
    <t>156 1004 21001L497M 320</t>
  </si>
  <si>
    <t>156 1004 21001L497M 322</t>
  </si>
  <si>
    <t>156 1004 21001L497М 000</t>
  </si>
  <si>
    <t>156 1004 21001L497М 300</t>
  </si>
  <si>
    <t>156 1004 21001L497М 320</t>
  </si>
  <si>
    <t>156 1004 21001L497М 322</t>
  </si>
  <si>
    <t xml:space="preserve">  ФИЗИЧЕСКАЯ КУЛЬТУРА И СПОРТ</t>
  </si>
  <si>
    <t>156 1100 0000000 000 000</t>
  </si>
  <si>
    <t xml:space="preserve">  Массовый спорт</t>
  </si>
  <si>
    <t>156 1102 0000000 000 000</t>
  </si>
  <si>
    <t xml:space="preserve">МП "Развитие физической культуры и спорта в городе Амурске"  </t>
  </si>
  <si>
    <t>156 1102 2200000000 000</t>
  </si>
  <si>
    <t xml:space="preserve">Проведение массовых физкультурно-спортивных мероприятий, в рамках МП "Развитие физической культуры и спорта в городе Амурске"  </t>
  </si>
  <si>
    <t>156 1102 2200101102 000</t>
  </si>
  <si>
    <t>156 1102 2200101102 100</t>
  </si>
  <si>
    <t>156 1102 2200101102 120</t>
  </si>
  <si>
    <t>156 1102 2200101102 123</t>
  </si>
  <si>
    <t>156 1102 2200101102 200</t>
  </si>
  <si>
    <t>156 1102 2200101102 240</t>
  </si>
  <si>
    <t>156 1102 2200101102 244</t>
  </si>
  <si>
    <t>156 1102 2200101102 300</t>
  </si>
  <si>
    <t>156 1102 2200101102 360</t>
  </si>
  <si>
    <t xml:space="preserve">  СРЕДСТВА МАССОВОЙ ИНФОРМАЦИИ</t>
  </si>
  <si>
    <t>156 1200 0000000000 000</t>
  </si>
  <si>
    <t xml:space="preserve">  Периодическая печать и издательства</t>
  </si>
  <si>
    <t>156 1202 0000000000 000</t>
  </si>
  <si>
    <t>МП "Поддержка и развитие средств массовой информации в городском поселении "Город Амурск"</t>
  </si>
  <si>
    <t>156 1202 3200000000 000</t>
  </si>
  <si>
    <t xml:space="preserve">  Обеспечение оперативного и регулярного освещения деятельности органов местного самоуправления в печатных изданиях в рамках МП "Поддержка и развитие средств массовой информации в городском поселении "Город Амурск"</t>
  </si>
  <si>
    <t>156 1202 3200101202 000</t>
  </si>
  <si>
    <t>156 1202 3200101202 600</t>
  </si>
  <si>
    <t xml:space="preserve">  Субсидии автономным учреждениям</t>
  </si>
  <si>
    <t>156 1202 3200101202 620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</si>
  <si>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</si>
  <si>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156 1202 3200101202 621</t>
  </si>
  <si>
    <t>Результат исполнения бюджета (дефицит / профицит)</t>
  </si>
  <si>
    <t>Информационное обеспечение</t>
  </si>
  <si>
    <t>Резервный фонд</t>
  </si>
  <si>
    <t>МП</t>
  </si>
  <si>
    <t>3.Источники финансирования дефицита бюджета</t>
  </si>
  <si>
    <t>Код источника финансирования дефицита бюджета по бюджетной классификации</t>
  </si>
  <si>
    <t xml:space="preserve">Исполнено 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</si>
  <si>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</si>
  <si>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</si>
  <si>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</si>
  <si>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</si>
  <si>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</si>
  <si>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изменение остатков средств</t>
  </si>
  <si>
    <t>100 01 05 00 00 00 0000 000</t>
  </si>
  <si>
    <t>156 01 05 00 00 00 0000 000</t>
  </si>
  <si>
    <t>увеличение остатков средств, всего</t>
  </si>
  <si>
    <t>X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</si>
  <si>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</si>
  <si>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</si>
  <si>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</si>
  <si>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100 01 05 02 00 00 0000 500</t>
  </si>
  <si>
    <t>Увеличение прочих остатков денежных средств бюджетов</t>
  </si>
  <si>
    <t>100 01 05 02 01 00 0000 510</t>
  </si>
  <si>
    <t>Увеличение прочих остатков денежных средств бюджетов городских поселений</t>
  </si>
  <si>
    <t>100 01 05 02 01 13 0000 510</t>
  </si>
  <si>
    <t>156 01 05 02 00 00 0000 500</t>
  </si>
  <si>
    <t>156 01 05 02 01 00 0000 510</t>
  </si>
  <si>
    <t>156 01 05 02 01 13 0000 510</t>
  </si>
  <si>
    <t>уменьшение остатков средств, всего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</si>
  <si>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</si>
  <si>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</si>
  <si>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</si>
  <si>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100 01 05 02 00 00 0000 600</t>
  </si>
  <si>
    <t>Уменьшение прочих остатков денежных средств бюджетов</t>
  </si>
  <si>
    <t>100 01 05 02 01 00 0000 610</t>
  </si>
  <si>
    <t>Уменьшение прочих остатков денежных средств бюджетов городских поселений</t>
  </si>
  <si>
    <t>100 01 05 02 01 13 0000 610</t>
  </si>
  <si>
    <t>156 01 05 02 00 00 0000 600</t>
  </si>
  <si>
    <t>156 01 05 02 01 00 0000 610</t>
  </si>
  <si>
    <t>156 01 05 02 01 13 0000 610</t>
  </si>
  <si>
    <r>
      <t xml:space="preserve">Руководитель    __________________          </t>
    </r>
    <r>
      <rPr>
        <u/>
        <sz val="10"/>
        <rFont val="Arial Cyr"/>
        <charset val="204"/>
      </rPr>
      <t xml:space="preserve">  Р.В. Колесников        </t>
    </r>
  </si>
  <si>
    <t xml:space="preserve">                                            (подпись)                      (расшифровка подписи)</t>
  </si>
  <si>
    <r>
      <t xml:space="preserve">Руководитель финансово-   __________________         </t>
    </r>
    <r>
      <rPr>
        <u/>
        <sz val="10"/>
        <rFont val="Arial Cyr"/>
        <family val="2"/>
        <charset val="204"/>
      </rPr>
      <t>С.С. Панишева</t>
    </r>
  </si>
  <si>
    <r>
      <t xml:space="preserve">экономической службы             </t>
    </r>
    <r>
      <rPr>
        <sz val="8"/>
        <rFont val="Arial Cyr"/>
        <charset val="204"/>
      </rPr>
      <t>(подпись)</t>
    </r>
    <r>
      <rPr>
        <sz val="10"/>
        <rFont val="Arial Cyr"/>
        <family val="2"/>
        <charset val="204"/>
      </rPr>
      <t xml:space="preserve">                     </t>
    </r>
    <r>
      <rPr>
        <sz val="8"/>
        <rFont val="Arial Cyr"/>
        <charset val="204"/>
      </rPr>
      <t xml:space="preserve"> (расшифровка подписи)</t>
    </r>
  </si>
  <si>
    <r>
      <t xml:space="preserve">Зав.сектором учета и отчетности ________________  </t>
    </r>
    <r>
      <rPr>
        <u/>
        <sz val="10"/>
        <rFont val="Arial Cyr"/>
        <family val="2"/>
        <charset val="204"/>
      </rPr>
      <t xml:space="preserve"> С.В.Мацебурская</t>
    </r>
  </si>
  <si>
    <t xml:space="preserve">                                                                        (подпись)                (расшифровка подписи)</t>
  </si>
  <si>
    <r>
      <t>"</t>
    </r>
    <r>
      <rPr>
        <u/>
        <sz val="10"/>
        <rFont val="Arial Cyr"/>
        <family val="2"/>
        <charset val="204"/>
      </rPr>
      <t xml:space="preserve">  06 </t>
    </r>
    <r>
      <rPr>
        <sz val="10"/>
        <rFont val="Arial Cyr"/>
        <family val="2"/>
        <charset val="204"/>
      </rPr>
      <t xml:space="preserve">" </t>
    </r>
    <r>
      <rPr>
        <u/>
        <sz val="10"/>
        <rFont val="Arial Cyr"/>
        <family val="2"/>
        <charset val="204"/>
      </rPr>
      <t xml:space="preserve"> ноября   </t>
    </r>
    <r>
      <rPr>
        <sz val="10"/>
        <rFont val="Arial Cyr"/>
        <family val="2"/>
        <charset val="204"/>
      </rPr>
      <t xml:space="preserve"> 20  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</si>
</sst>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9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b/>
      <u/>
      <sz val="11"/>
      <name val="Times New Roman"/>
      <family val="1"/>
      <charset val="204"/>
    </font>
    <font>
      <u/>
      <sz val="8"/>
      <name val="Arial Cyr"/>
      <family val="2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</font>
    <font>
      <sz val="10"/>
      <name val="Arial Cyr"/>
    </font>
    <font>
      <b/>
      <sz val="9"/>
      <name val="Arial Cyr"/>
      <family val="2"/>
      <charset val="204"/>
    </font>
    <font>
      <b/>
      <sz val="8"/>
      <name val="Arial Cyr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" fontId="27" fillId="0" borderId="13">
      <alignment horizontal="left" wrapText="1"/>
    </xf>
    <xf numFmtId="49" fontId="27" fillId="0" borderId="21">
      <alignment horizontal="right" vertical="center" wrapText="1"/>
    </xf>
    <xf numFmtId="4" fontId="27" fillId="0" borderId="10">
      <alignment horizontal="right" vertical="center" wrapText="1"/>
    </xf>
    <xf numFmtId="0" fontId="27" fillId="0" borderId="21">
      <alignment horizontal="left" wrapText="1"/>
    </xf>
    <xf numFmtId="0" fontId="27" fillId="0" borderId="21">
      <alignment horizontal="center" wrapText="1"/>
    </xf>
    <xf numFmtId="0" fontId="31" fillId="0" borderId="0"/>
  </cellStyleXfs>
  <cellXfs count="20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/>
    <xf numFmtId="49" fontId="6" fillId="0" borderId="2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4" fontId="6" fillId="0" borderId="3" xfId="0" applyNumberFormat="1" applyFont="1" applyBorder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0" fontId="5" fillId="0" borderId="0" xfId="0" applyFont="1"/>
    <xf numFmtId="49" fontId="6" fillId="0" borderId="4" xfId="0" applyNumberFormat="1" applyFont="1" applyBorder="1" applyAlignment="1">
      <alignment horizontal="centerContinuous"/>
    </xf>
    <xf numFmtId="49" fontId="10" fillId="0" borderId="0" xfId="0" applyNumberFormat="1" applyFont="1" applyAlignment="1">
      <alignment horizontal="center"/>
    </xf>
    <xf numFmtId="49" fontId="6" fillId="0" borderId="5" xfId="0" applyNumberFormat="1" applyFon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10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center"/>
    </xf>
    <xf numFmtId="4" fontId="10" fillId="0" borderId="7" xfId="0" applyNumberFormat="1" applyFont="1" applyBorder="1"/>
    <xf numFmtId="0" fontId="12" fillId="0" borderId="7" xfId="0" applyFont="1" applyBorder="1"/>
    <xf numFmtId="4" fontId="0" fillId="0" borderId="7" xfId="0" applyNumberFormat="1" applyBorder="1"/>
    <xf numFmtId="49" fontId="0" fillId="0" borderId="12" xfId="0" applyNumberForma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center" wrapText="1"/>
    </xf>
    <xf numFmtId="0" fontId="10" fillId="0" borderId="0" xfId="0" applyFont="1"/>
    <xf numFmtId="0" fontId="19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4" fontId="1" fillId="0" borderId="7" xfId="1" applyNumberFormat="1" applyBorder="1"/>
    <xf numFmtId="0" fontId="22" fillId="0" borderId="7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center"/>
    </xf>
    <xf numFmtId="4" fontId="24" fillId="0" borderId="7" xfId="0" applyNumberFormat="1" applyFont="1" applyBorder="1"/>
    <xf numFmtId="0" fontId="18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top" wrapText="1"/>
    </xf>
    <xf numFmtId="4" fontId="28" fillId="0" borderId="13" xfId="2" applyFont="1" applyAlignment="1">
      <alignment horizontal="right" shrinkToFit="1"/>
    </xf>
    <xf numFmtId="4" fontId="4" fillId="0" borderId="7" xfId="0" applyNumberFormat="1" applyFont="1" applyBorder="1" applyAlignment="1">
      <alignment horizontal="right"/>
    </xf>
    <xf numFmtId="0" fontId="1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" fontId="0" fillId="0" borderId="0" xfId="0" applyNumberFormat="1"/>
    <xf numFmtId="49" fontId="7" fillId="0" borderId="0" xfId="0" applyNumberFormat="1" applyFont="1"/>
    <xf numFmtId="0" fontId="0" fillId="2" borderId="0" xfId="0" applyFill="1"/>
    <xf numFmtId="0" fontId="16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shrinkToFit="1"/>
    </xf>
    <xf numFmtId="1" fontId="6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right" shrinkToFit="1"/>
    </xf>
    <xf numFmtId="164" fontId="10" fillId="0" borderId="16" xfId="0" applyNumberFormat="1" applyFont="1" applyBorder="1" applyAlignment="1">
      <alignment horizontal="right" shrinkToFit="1"/>
    </xf>
    <xf numFmtId="0" fontId="0" fillId="3" borderId="0" xfId="0" applyFill="1"/>
    <xf numFmtId="0" fontId="19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shrinkToFit="1"/>
    </xf>
    <xf numFmtId="1" fontId="6" fillId="0" borderId="8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right" shrinkToFit="1"/>
    </xf>
    <xf numFmtId="164" fontId="0" fillId="0" borderId="16" xfId="0" applyNumberFormat="1" applyBorder="1" applyAlignment="1">
      <alignment horizontal="right" shrinkToFit="1"/>
    </xf>
    <xf numFmtId="0" fontId="25" fillId="0" borderId="19" xfId="0" applyFont="1" applyBorder="1" applyAlignment="1">
      <alignment horizontal="left" vertical="center" wrapText="1"/>
    </xf>
    <xf numFmtId="49" fontId="29" fillId="0" borderId="20" xfId="0" applyNumberFormat="1" applyFont="1" applyBorder="1" applyAlignment="1">
      <alignment horizontal="center" shrinkToFit="1"/>
    </xf>
    <xf numFmtId="49" fontId="11" fillId="0" borderId="21" xfId="3" applyFont="1" applyAlignment="1">
      <alignment horizontal="center" wrapText="1"/>
    </xf>
    <xf numFmtId="4" fontId="10" fillId="0" borderId="10" xfId="0" applyNumberFormat="1" applyFont="1" applyBorder="1" applyAlignment="1">
      <alignment horizontal="right" shrinkToFit="1"/>
    </xf>
    <xf numFmtId="164" fontId="10" fillId="0" borderId="22" xfId="0" applyNumberFormat="1" applyFont="1" applyBorder="1" applyAlignment="1">
      <alignment horizontal="right" shrinkToFit="1"/>
    </xf>
    <xf numFmtId="0" fontId="14" fillId="0" borderId="19" xfId="0" applyFont="1" applyBorder="1" applyAlignment="1">
      <alignment horizontal="left" vertical="center" wrapText="1"/>
    </xf>
    <xf numFmtId="49" fontId="30" fillId="0" borderId="21" xfId="3" applyFont="1" applyAlignment="1">
      <alignment horizontal="center" wrapText="1"/>
    </xf>
    <xf numFmtId="0" fontId="14" fillId="0" borderId="19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25" fillId="0" borderId="19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49" fontId="31" fillId="0" borderId="7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right" shrinkToFit="1"/>
    </xf>
    <xf numFmtId="164" fontId="0" fillId="0" borderId="22" xfId="0" applyNumberFormat="1" applyBorder="1" applyAlignment="1">
      <alignment horizontal="right" shrinkToFit="1"/>
    </xf>
    <xf numFmtId="49" fontId="6" fillId="0" borderId="20" xfId="0" applyNumberFormat="1" applyFont="1" applyBorder="1" applyAlignment="1">
      <alignment horizontal="center" shrinkToFit="1"/>
    </xf>
    <xf numFmtId="49" fontId="16" fillId="0" borderId="20" xfId="0" applyNumberFormat="1" applyFont="1" applyBorder="1" applyAlignment="1">
      <alignment horizontal="center" shrinkToFit="1"/>
    </xf>
    <xf numFmtId="0" fontId="26" fillId="0" borderId="19" xfId="0" applyFont="1" applyBorder="1" applyAlignment="1">
      <alignment horizontal="left" vertical="top" wrapText="1"/>
    </xf>
    <xf numFmtId="0" fontId="32" fillId="0" borderId="19" xfId="0" applyFont="1" applyBorder="1" applyAlignment="1">
      <alignment vertical="top" wrapText="1"/>
    </xf>
    <xf numFmtId="0" fontId="25" fillId="0" borderId="1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left" vertical="top" wrapText="1"/>
    </xf>
    <xf numFmtId="0" fontId="26" fillId="0" borderId="10" xfId="4" applyNumberFormat="1" applyFont="1" applyAlignment="1">
      <alignment vertical="top" wrapText="1"/>
    </xf>
    <xf numFmtId="49" fontId="27" fillId="0" borderId="21" xfId="5" applyNumberFormat="1" applyAlignment="1">
      <alignment horizontal="center" wrapText="1"/>
    </xf>
    <xf numFmtId="49" fontId="27" fillId="0" borderId="21" xfId="3" applyAlignment="1">
      <alignment horizontal="center" wrapText="1"/>
    </xf>
    <xf numFmtId="4" fontId="28" fillId="0" borderId="21" xfId="6" applyNumberFormat="1" applyFont="1" applyAlignment="1">
      <alignment horizontal="right" wrapText="1"/>
    </xf>
    <xf numFmtId="49" fontId="27" fillId="0" borderId="21" xfId="3" applyAlignment="1">
      <alignment horizontal="center"/>
    </xf>
    <xf numFmtId="0" fontId="34" fillId="0" borderId="17" xfId="0" applyFont="1" applyBorder="1" applyAlignment="1">
      <alignment vertical="top" wrapText="1"/>
    </xf>
    <xf numFmtId="49" fontId="11" fillId="0" borderId="1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 shrinkToFit="1"/>
    </xf>
    <xf numFmtId="0" fontId="0" fillId="4" borderId="0" xfId="0" applyFill="1"/>
    <xf numFmtId="0" fontId="0" fillId="5" borderId="0" xfId="0" applyFill="1"/>
    <xf numFmtId="0" fontId="35" fillId="0" borderId="23" xfId="0" applyFont="1" applyBorder="1" applyAlignment="1">
      <alignment vertical="top" wrapText="1"/>
    </xf>
    <xf numFmtId="0" fontId="35" fillId="0" borderId="23" xfId="0" applyFont="1" applyBorder="1" applyAlignment="1">
      <alignment horizontal="left" vertical="top" wrapText="1"/>
    </xf>
    <xf numFmtId="49" fontId="25" fillId="0" borderId="19" xfId="0" applyNumberFormat="1" applyFont="1" applyBorder="1" applyAlignment="1">
      <alignment vertical="top" wrapText="1"/>
    </xf>
    <xf numFmtId="0" fontId="36" fillId="0" borderId="23" xfId="0" applyFont="1" applyBorder="1" applyAlignment="1">
      <alignment vertical="top" wrapText="1"/>
    </xf>
    <xf numFmtId="0" fontId="37" fillId="0" borderId="19" xfId="0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6" fillId="0" borderId="17" xfId="0" applyFont="1" applyBorder="1" applyAlignment="1">
      <alignment vertical="top" wrapText="1"/>
    </xf>
    <xf numFmtId="0" fontId="34" fillId="0" borderId="22" xfId="0" applyFont="1" applyBorder="1" applyAlignment="1">
      <alignment vertical="top" wrapText="1"/>
    </xf>
    <xf numFmtId="49" fontId="31" fillId="0" borderId="10" xfId="0" applyNumberFormat="1" applyFont="1" applyBorder="1" applyAlignment="1">
      <alignment horizontal="center"/>
    </xf>
    <xf numFmtId="0" fontId="34" fillId="0" borderId="23" xfId="0" applyFont="1" applyBorder="1" applyAlignment="1">
      <alignment vertical="top" wrapText="1"/>
    </xf>
    <xf numFmtId="0" fontId="35" fillId="0" borderId="22" xfId="0" applyFont="1" applyBorder="1" applyAlignment="1">
      <alignment vertical="top" wrapText="1"/>
    </xf>
    <xf numFmtId="0" fontId="35" fillId="0" borderId="17" xfId="0" applyFont="1" applyBorder="1" applyAlignment="1">
      <alignment vertical="top" wrapText="1"/>
    </xf>
    <xf numFmtId="0" fontId="35" fillId="0" borderId="24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34" fillId="0" borderId="26" xfId="0" applyFont="1" applyBorder="1" applyAlignment="1">
      <alignment vertical="center" wrapText="1"/>
    </xf>
    <xf numFmtId="49" fontId="6" fillId="0" borderId="27" xfId="0" applyNumberFormat="1" applyFont="1" applyBorder="1" applyAlignment="1">
      <alignment horizontal="center" shrinkToFit="1"/>
    </xf>
    <xf numFmtId="49" fontId="11" fillId="0" borderId="27" xfId="0" applyNumberFormat="1" applyFont="1" applyBorder="1" applyAlignment="1">
      <alignment horizontal="center"/>
    </xf>
    <xf numFmtId="4" fontId="10" fillId="0" borderId="27" xfId="0" applyNumberFormat="1" applyFont="1" applyBorder="1" applyAlignment="1">
      <alignment horizontal="right" shrinkToFit="1"/>
    </xf>
    <xf numFmtId="164" fontId="10" fillId="0" borderId="27" xfId="0" applyNumberFormat="1" applyFont="1" applyBorder="1" applyAlignment="1">
      <alignment horizontal="right" shrinkToFit="1"/>
    </xf>
    <xf numFmtId="0" fontId="26" fillId="0" borderId="28" xfId="0" applyFont="1" applyBorder="1" applyAlignment="1">
      <alignment horizontal="left" wrapText="1"/>
    </xf>
    <xf numFmtId="1" fontId="6" fillId="0" borderId="29" xfId="0" applyNumberFormat="1" applyFont="1" applyBorder="1" applyAlignment="1">
      <alignment horizontal="center" shrinkToFit="1"/>
    </xf>
    <xf numFmtId="1" fontId="6" fillId="0" borderId="30" xfId="0" applyNumberFormat="1" applyFont="1" applyBorder="1" applyAlignment="1">
      <alignment horizontal="center"/>
    </xf>
    <xf numFmtId="4" fontId="0" fillId="0" borderId="30" xfId="0" applyNumberFormat="1" applyBorder="1"/>
    <xf numFmtId="1" fontId="0" fillId="0" borderId="31" xfId="0" applyNumberFormat="1" applyBorder="1" applyAlignment="1">
      <alignment horizontal="center"/>
    </xf>
    <xf numFmtId="0" fontId="14" fillId="0" borderId="0" xfId="0" applyFont="1"/>
    <xf numFmtId="49" fontId="31" fillId="0" borderId="0" xfId="0" applyNumberFormat="1" applyFont="1" applyAlignment="1">
      <alignment horizontal="center"/>
    </xf>
    <xf numFmtId="4" fontId="10" fillId="0" borderId="0" xfId="0" applyNumberFormat="1" applyFont="1"/>
    <xf numFmtId="0" fontId="12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right"/>
    </xf>
    <xf numFmtId="2" fontId="14" fillId="0" borderId="7" xfId="0" applyNumberFormat="1" applyFont="1" applyBorder="1" applyAlignment="1">
      <alignment horizontal="center" vertical="center" wrapText="1"/>
    </xf>
    <xf numFmtId="0" fontId="18" fillId="0" borderId="8" xfId="7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4" fillId="0" borderId="8" xfId="7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center" vertical="center" shrinkToFit="1"/>
    </xf>
    <xf numFmtId="1" fontId="31" fillId="0" borderId="33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right" shrinkToFit="1"/>
    </xf>
    <xf numFmtId="4" fontId="0" fillId="0" borderId="34" xfId="0" applyNumberFormat="1" applyBorder="1" applyAlignment="1">
      <alignment horizontal="right"/>
    </xf>
    <xf numFmtId="0" fontId="15" fillId="0" borderId="35" xfId="0" applyFont="1" applyBorder="1" applyAlignment="1">
      <alignment horizontal="left" vertical="center" wrapText="1" indent="2"/>
    </xf>
    <xf numFmtId="0" fontId="31" fillId="0" borderId="18" xfId="0" applyFont="1" applyBorder="1" applyAlignment="1">
      <alignment horizontal="center" vertical="center" shrinkToFit="1"/>
    </xf>
    <xf numFmtId="1" fontId="3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right" shrinkToFit="1"/>
    </xf>
    <xf numFmtId="0" fontId="15" fillId="0" borderId="17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shrinkToFit="1"/>
    </xf>
    <xf numFmtId="1" fontId="31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shrinkToFit="1"/>
    </xf>
    <xf numFmtId="164" fontId="0" fillId="0" borderId="24" xfId="0" applyNumberFormat="1" applyBorder="1" applyAlignment="1">
      <alignment horizontal="right" shrinkToFit="1"/>
    </xf>
    <xf numFmtId="0" fontId="15" fillId="0" borderId="36" xfId="0" applyFont="1" applyBorder="1" applyAlignment="1">
      <alignment horizontal="left" vertical="center" wrapText="1" indent="2"/>
    </xf>
    <xf numFmtId="0" fontId="15" fillId="0" borderId="19" xfId="0" applyFont="1" applyBorder="1" applyAlignment="1">
      <alignment horizontal="left" vertical="center" wrapText="1"/>
    </xf>
    <xf numFmtId="49" fontId="31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 shrinkToFit="1"/>
    </xf>
    <xf numFmtId="0" fontId="15" fillId="0" borderId="3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shrinkToFit="1"/>
    </xf>
    <xf numFmtId="49" fontId="31" fillId="0" borderId="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164" fontId="0" fillId="0" borderId="24" xfId="0" applyNumberFormat="1" applyBorder="1" applyAlignment="1">
      <alignment shrinkToFit="1"/>
    </xf>
    <xf numFmtId="164" fontId="0" fillId="0" borderId="24" xfId="0" applyNumberFormat="1" applyBorder="1" applyAlignment="1">
      <alignment horizontal="center" shrinkToFit="1"/>
    </xf>
    <xf numFmtId="4" fontId="0" fillId="0" borderId="7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10" xfId="0" applyNumberFormat="1" applyBorder="1"/>
    <xf numFmtId="164" fontId="0" fillId="0" borderId="10" xfId="0" applyNumberFormat="1" applyBorder="1" applyAlignment="1">
      <alignment shrinkToFit="1"/>
    </xf>
    <xf numFmtId="0" fontId="31" fillId="0" borderId="39" xfId="0" applyFont="1" applyBorder="1" applyAlignment="1">
      <alignment horizontal="center" vertical="center" shrinkToFit="1"/>
    </xf>
    <xf numFmtId="49" fontId="31" fillId="0" borderId="40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shrinkToFit="1"/>
    </xf>
    <xf numFmtId="164" fontId="0" fillId="0" borderId="40" xfId="0" applyNumberFormat="1" applyBorder="1" applyAlignment="1">
      <alignment horizontal="right" shrinkToFit="1"/>
    </xf>
    <xf numFmtId="164" fontId="0" fillId="0" borderId="41" xfId="0" applyNumberFormat="1" applyBorder="1" applyAlignment="1">
      <alignment horizontal="center" shrinkToFi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1" applyFont="1" applyAlignment="1">
      <alignment horizontal="left"/>
    </xf>
    <xf numFmtId="49" fontId="0" fillId="0" borderId="0" xfId="0" applyNumberFormat="1" applyAlignment="1">
      <alignment wrapText="1"/>
    </xf>
  </cellXfs>
  <cellStyles count="8">
    <cellStyle name="xl53" xfId="2" xr:uid="{DDC8A0F4-290A-48A4-9512-4DAADF90EC19}"/>
    <cellStyle name="xl73" xfId="4" xr:uid="{B3CCD74E-6322-4ED5-A47F-C9C4B928ECC5}"/>
    <cellStyle name="xl79" xfId="5" xr:uid="{F0227295-C0BE-4BD0-8AC2-8156A318C0C7}"/>
    <cellStyle name="xl84" xfId="3" xr:uid="{B55E1541-C9E9-48B0-B924-A6AB68CDB1CB}"/>
    <cellStyle name="xl88" xfId="6" xr:uid="{CD338284-BC04-4030-A7E9-C88688409CE4}"/>
    <cellStyle name="Обычный" xfId="0" builtinId="0"/>
    <cellStyle name="Обычный 2 2" xfId="1" xr:uid="{02FC0192-EBCF-4BCA-8D98-B7F21B4C7AB7}"/>
    <cellStyle name="Обычный_Январь 2006 года 22001 - Амурский Форма 42803" xfId="7" xr:uid="{D1833492-96C7-4332-A4F5-7B5442C95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45;&#1057;.&#1054;&#1058;&#1063;&#1045;&#1058;&#1067;\&#1052;&#1045;&#1057;.%20&#1054;&#1058;&#1063;&#1045;&#1058;&#1067;%20&#1055;&#1054;%20&#1043;&#1054;&#1044;&#1040;&#1052;\&#1052;&#1045;&#1057;.&#1054;&#1058;&#1063;&#1045;&#1058;&#1067;\&#1052;&#1045;&#1057;.%20&#1054;&#1058;&#1063;&#1045;&#1058;&#1067;%20&#1055;&#1054;%20&#1043;&#1054;&#1044;&#1040;&#1052;\Buh.otd\&#1059;&#1063;&#1045;&#1058;%202012\&#1057;&#1087;&#1088;&#1072;&#1074;&#1086;&#1095;&#1085;&#1072;&#1103;%20&#1082;&#1074;&#1072;&#1088;&#1090;&#1072;&#1083;&#1100;&#1085;&#1072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45;&#1057;.&#1054;&#1058;&#1063;&#1045;&#1058;&#1067;\&#1052;&#1045;&#1057;.%20&#1054;&#1058;&#1063;&#1045;&#1058;&#1067;%20&#1055;&#1054;%20&#1043;&#1054;&#1044;&#1040;&#1052;\&#1052;&#1045;&#1057;.&#1054;&#1058;&#1063;&#1045;&#1058;&#1067;\&#1052;&#1045;&#1057;.%20&#1054;&#1058;&#1063;&#1045;&#1058;&#1067;%20&#1055;&#1054;%20&#1043;&#1054;&#1044;&#1040;&#1052;\_&#1054;&#1073;&#1084;&#1077;&#1085;_\&#1052;&#1072;&#1094;&#1077;&#1073;&#1091;&#1088;&#1089;&#1082;&#1072;&#1103;%20&#1057;.&#1042;\21.05.2010\&#1057;&#1042;&#1045;&#1044;&#1045;&#1053;&#1048;&#1071;%20%20&#1060;&#1086;&#1088;&#1084;&#1072;%20015%20%20&#1089;%202010%20&#1075;&#1086;&#1076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V_0503125M_2011010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ланк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B73F-7CB5-472B-AB5A-56811824FC97}">
  <dimension ref="A1:CQ1097"/>
  <sheetViews>
    <sheetView tabSelected="1" zoomScale="90" zoomScaleNormal="90" zoomScaleSheetLayoutView="90" workbookViewId="0">
      <selection activeCell="C19" sqref="C19"/>
    </sheetView>
  </sheetViews>
  <sheetFormatPr defaultRowHeight="12.5" x14ac:dyDescent="0.25"/>
  <cols>
    <col min="1" max="1" width="33" customWidth="1"/>
    <col min="2" max="2" width="4.7265625" style="193" customWidth="1"/>
    <col min="3" max="3" width="21" style="193" customWidth="1"/>
    <col min="4" max="4" width="15" customWidth="1"/>
    <col min="5" max="5" width="16.6328125" customWidth="1"/>
    <col min="6" max="6" width="15.453125" customWidth="1"/>
    <col min="7" max="81" width="9.26953125" customWidth="1"/>
    <col min="257" max="257" width="33" customWidth="1"/>
    <col min="258" max="258" width="4.7265625" customWidth="1"/>
    <col min="259" max="259" width="21" customWidth="1"/>
    <col min="260" max="260" width="15" customWidth="1"/>
    <col min="261" max="261" width="16.6328125" customWidth="1"/>
    <col min="262" max="262" width="15.453125" customWidth="1"/>
    <col min="263" max="337" width="9.26953125" customWidth="1"/>
    <col min="513" max="513" width="33" customWidth="1"/>
    <col min="514" max="514" width="4.7265625" customWidth="1"/>
    <col min="515" max="515" width="21" customWidth="1"/>
    <col min="516" max="516" width="15" customWidth="1"/>
    <col min="517" max="517" width="16.6328125" customWidth="1"/>
    <col min="518" max="518" width="15.453125" customWidth="1"/>
    <col min="519" max="593" width="9.26953125" customWidth="1"/>
    <col min="769" max="769" width="33" customWidth="1"/>
    <col min="770" max="770" width="4.7265625" customWidth="1"/>
    <col min="771" max="771" width="21" customWidth="1"/>
    <col min="772" max="772" width="15" customWidth="1"/>
    <col min="773" max="773" width="16.6328125" customWidth="1"/>
    <col min="774" max="774" width="15.453125" customWidth="1"/>
    <col min="775" max="849" width="9.26953125" customWidth="1"/>
    <col min="1025" max="1025" width="33" customWidth="1"/>
    <col min="1026" max="1026" width="4.7265625" customWidth="1"/>
    <col min="1027" max="1027" width="21" customWidth="1"/>
    <col min="1028" max="1028" width="15" customWidth="1"/>
    <col min="1029" max="1029" width="16.6328125" customWidth="1"/>
    <col min="1030" max="1030" width="15.453125" customWidth="1"/>
    <col min="1031" max="1105" width="9.26953125" customWidth="1"/>
    <col min="1281" max="1281" width="33" customWidth="1"/>
    <col min="1282" max="1282" width="4.7265625" customWidth="1"/>
    <col min="1283" max="1283" width="21" customWidth="1"/>
    <col min="1284" max="1284" width="15" customWidth="1"/>
    <col min="1285" max="1285" width="16.6328125" customWidth="1"/>
    <col min="1286" max="1286" width="15.453125" customWidth="1"/>
    <col min="1287" max="1361" width="9.26953125" customWidth="1"/>
    <col min="1537" max="1537" width="33" customWidth="1"/>
    <col min="1538" max="1538" width="4.7265625" customWidth="1"/>
    <col min="1539" max="1539" width="21" customWidth="1"/>
    <col min="1540" max="1540" width="15" customWidth="1"/>
    <col min="1541" max="1541" width="16.6328125" customWidth="1"/>
    <col min="1542" max="1542" width="15.453125" customWidth="1"/>
    <col min="1543" max="1617" width="9.26953125" customWidth="1"/>
    <col min="1793" max="1793" width="33" customWidth="1"/>
    <col min="1794" max="1794" width="4.7265625" customWidth="1"/>
    <col min="1795" max="1795" width="21" customWidth="1"/>
    <col min="1796" max="1796" width="15" customWidth="1"/>
    <col min="1797" max="1797" width="16.6328125" customWidth="1"/>
    <col min="1798" max="1798" width="15.453125" customWidth="1"/>
    <col min="1799" max="1873" width="9.26953125" customWidth="1"/>
    <col min="2049" max="2049" width="33" customWidth="1"/>
    <col min="2050" max="2050" width="4.7265625" customWidth="1"/>
    <col min="2051" max="2051" width="21" customWidth="1"/>
    <col min="2052" max="2052" width="15" customWidth="1"/>
    <col min="2053" max="2053" width="16.6328125" customWidth="1"/>
    <col min="2054" max="2054" width="15.453125" customWidth="1"/>
    <col min="2055" max="2129" width="9.26953125" customWidth="1"/>
    <col min="2305" max="2305" width="33" customWidth="1"/>
    <col min="2306" max="2306" width="4.7265625" customWidth="1"/>
    <col min="2307" max="2307" width="21" customWidth="1"/>
    <col min="2308" max="2308" width="15" customWidth="1"/>
    <col min="2309" max="2309" width="16.6328125" customWidth="1"/>
    <col min="2310" max="2310" width="15.453125" customWidth="1"/>
    <col min="2311" max="2385" width="9.26953125" customWidth="1"/>
    <col min="2561" max="2561" width="33" customWidth="1"/>
    <col min="2562" max="2562" width="4.7265625" customWidth="1"/>
    <col min="2563" max="2563" width="21" customWidth="1"/>
    <col min="2564" max="2564" width="15" customWidth="1"/>
    <col min="2565" max="2565" width="16.6328125" customWidth="1"/>
    <col min="2566" max="2566" width="15.453125" customWidth="1"/>
    <col min="2567" max="2641" width="9.26953125" customWidth="1"/>
    <col min="2817" max="2817" width="33" customWidth="1"/>
    <col min="2818" max="2818" width="4.7265625" customWidth="1"/>
    <col min="2819" max="2819" width="21" customWidth="1"/>
    <col min="2820" max="2820" width="15" customWidth="1"/>
    <col min="2821" max="2821" width="16.6328125" customWidth="1"/>
    <col min="2822" max="2822" width="15.453125" customWidth="1"/>
    <col min="2823" max="2897" width="9.26953125" customWidth="1"/>
    <col min="3073" max="3073" width="33" customWidth="1"/>
    <col min="3074" max="3074" width="4.7265625" customWidth="1"/>
    <col min="3075" max="3075" width="21" customWidth="1"/>
    <col min="3076" max="3076" width="15" customWidth="1"/>
    <col min="3077" max="3077" width="16.6328125" customWidth="1"/>
    <col min="3078" max="3078" width="15.453125" customWidth="1"/>
    <col min="3079" max="3153" width="9.26953125" customWidth="1"/>
    <col min="3329" max="3329" width="33" customWidth="1"/>
    <col min="3330" max="3330" width="4.7265625" customWidth="1"/>
    <col min="3331" max="3331" width="21" customWidth="1"/>
    <col min="3332" max="3332" width="15" customWidth="1"/>
    <col min="3333" max="3333" width="16.6328125" customWidth="1"/>
    <col min="3334" max="3334" width="15.453125" customWidth="1"/>
    <col min="3335" max="3409" width="9.26953125" customWidth="1"/>
    <col min="3585" max="3585" width="33" customWidth="1"/>
    <col min="3586" max="3586" width="4.7265625" customWidth="1"/>
    <col min="3587" max="3587" width="21" customWidth="1"/>
    <col min="3588" max="3588" width="15" customWidth="1"/>
    <col min="3589" max="3589" width="16.6328125" customWidth="1"/>
    <col min="3590" max="3590" width="15.453125" customWidth="1"/>
    <col min="3591" max="3665" width="9.26953125" customWidth="1"/>
    <col min="3841" max="3841" width="33" customWidth="1"/>
    <col min="3842" max="3842" width="4.7265625" customWidth="1"/>
    <col min="3843" max="3843" width="21" customWidth="1"/>
    <col min="3844" max="3844" width="15" customWidth="1"/>
    <col min="3845" max="3845" width="16.6328125" customWidth="1"/>
    <col min="3846" max="3846" width="15.453125" customWidth="1"/>
    <col min="3847" max="3921" width="9.26953125" customWidth="1"/>
    <col min="4097" max="4097" width="33" customWidth="1"/>
    <col min="4098" max="4098" width="4.7265625" customWidth="1"/>
    <col min="4099" max="4099" width="21" customWidth="1"/>
    <col min="4100" max="4100" width="15" customWidth="1"/>
    <col min="4101" max="4101" width="16.6328125" customWidth="1"/>
    <col min="4102" max="4102" width="15.453125" customWidth="1"/>
    <col min="4103" max="4177" width="9.26953125" customWidth="1"/>
    <col min="4353" max="4353" width="33" customWidth="1"/>
    <col min="4354" max="4354" width="4.7265625" customWidth="1"/>
    <col min="4355" max="4355" width="21" customWidth="1"/>
    <col min="4356" max="4356" width="15" customWidth="1"/>
    <col min="4357" max="4357" width="16.6328125" customWidth="1"/>
    <col min="4358" max="4358" width="15.453125" customWidth="1"/>
    <col min="4359" max="4433" width="9.26953125" customWidth="1"/>
    <col min="4609" max="4609" width="33" customWidth="1"/>
    <col min="4610" max="4610" width="4.7265625" customWidth="1"/>
    <col min="4611" max="4611" width="21" customWidth="1"/>
    <col min="4612" max="4612" width="15" customWidth="1"/>
    <col min="4613" max="4613" width="16.6328125" customWidth="1"/>
    <col min="4614" max="4614" width="15.453125" customWidth="1"/>
    <col min="4615" max="4689" width="9.26953125" customWidth="1"/>
    <col min="4865" max="4865" width="33" customWidth="1"/>
    <col min="4866" max="4866" width="4.7265625" customWidth="1"/>
    <col min="4867" max="4867" width="21" customWidth="1"/>
    <col min="4868" max="4868" width="15" customWidth="1"/>
    <col min="4869" max="4869" width="16.6328125" customWidth="1"/>
    <col min="4870" max="4870" width="15.453125" customWidth="1"/>
    <col min="4871" max="4945" width="9.26953125" customWidth="1"/>
    <col min="5121" max="5121" width="33" customWidth="1"/>
    <col min="5122" max="5122" width="4.7265625" customWidth="1"/>
    <col min="5123" max="5123" width="21" customWidth="1"/>
    <col min="5124" max="5124" width="15" customWidth="1"/>
    <col min="5125" max="5125" width="16.6328125" customWidth="1"/>
    <col min="5126" max="5126" width="15.453125" customWidth="1"/>
    <col min="5127" max="5201" width="9.26953125" customWidth="1"/>
    <col min="5377" max="5377" width="33" customWidth="1"/>
    <col min="5378" max="5378" width="4.7265625" customWidth="1"/>
    <col min="5379" max="5379" width="21" customWidth="1"/>
    <col min="5380" max="5380" width="15" customWidth="1"/>
    <col min="5381" max="5381" width="16.6328125" customWidth="1"/>
    <col min="5382" max="5382" width="15.453125" customWidth="1"/>
    <col min="5383" max="5457" width="9.26953125" customWidth="1"/>
    <col min="5633" max="5633" width="33" customWidth="1"/>
    <col min="5634" max="5634" width="4.7265625" customWidth="1"/>
    <col min="5635" max="5635" width="21" customWidth="1"/>
    <col min="5636" max="5636" width="15" customWidth="1"/>
    <col min="5637" max="5637" width="16.6328125" customWidth="1"/>
    <col min="5638" max="5638" width="15.453125" customWidth="1"/>
    <col min="5639" max="5713" width="9.26953125" customWidth="1"/>
    <col min="5889" max="5889" width="33" customWidth="1"/>
    <col min="5890" max="5890" width="4.7265625" customWidth="1"/>
    <col min="5891" max="5891" width="21" customWidth="1"/>
    <col min="5892" max="5892" width="15" customWidth="1"/>
    <col min="5893" max="5893" width="16.6328125" customWidth="1"/>
    <col min="5894" max="5894" width="15.453125" customWidth="1"/>
    <col min="5895" max="5969" width="9.26953125" customWidth="1"/>
    <col min="6145" max="6145" width="33" customWidth="1"/>
    <col min="6146" max="6146" width="4.7265625" customWidth="1"/>
    <col min="6147" max="6147" width="21" customWidth="1"/>
    <col min="6148" max="6148" width="15" customWidth="1"/>
    <col min="6149" max="6149" width="16.6328125" customWidth="1"/>
    <col min="6150" max="6150" width="15.453125" customWidth="1"/>
    <col min="6151" max="6225" width="9.26953125" customWidth="1"/>
    <col min="6401" max="6401" width="33" customWidth="1"/>
    <col min="6402" max="6402" width="4.7265625" customWidth="1"/>
    <col min="6403" max="6403" width="21" customWidth="1"/>
    <col min="6404" max="6404" width="15" customWidth="1"/>
    <col min="6405" max="6405" width="16.6328125" customWidth="1"/>
    <col min="6406" max="6406" width="15.453125" customWidth="1"/>
    <col min="6407" max="6481" width="9.26953125" customWidth="1"/>
    <col min="6657" max="6657" width="33" customWidth="1"/>
    <col min="6658" max="6658" width="4.7265625" customWidth="1"/>
    <col min="6659" max="6659" width="21" customWidth="1"/>
    <col min="6660" max="6660" width="15" customWidth="1"/>
    <col min="6661" max="6661" width="16.6328125" customWidth="1"/>
    <col min="6662" max="6662" width="15.453125" customWidth="1"/>
    <col min="6663" max="6737" width="9.26953125" customWidth="1"/>
    <col min="6913" max="6913" width="33" customWidth="1"/>
    <col min="6914" max="6914" width="4.7265625" customWidth="1"/>
    <col min="6915" max="6915" width="21" customWidth="1"/>
    <col min="6916" max="6916" width="15" customWidth="1"/>
    <col min="6917" max="6917" width="16.6328125" customWidth="1"/>
    <col min="6918" max="6918" width="15.453125" customWidth="1"/>
    <col min="6919" max="6993" width="9.26953125" customWidth="1"/>
    <col min="7169" max="7169" width="33" customWidth="1"/>
    <col min="7170" max="7170" width="4.7265625" customWidth="1"/>
    <col min="7171" max="7171" width="21" customWidth="1"/>
    <col min="7172" max="7172" width="15" customWidth="1"/>
    <col min="7173" max="7173" width="16.6328125" customWidth="1"/>
    <col min="7174" max="7174" width="15.453125" customWidth="1"/>
    <col min="7175" max="7249" width="9.26953125" customWidth="1"/>
    <col min="7425" max="7425" width="33" customWidth="1"/>
    <col min="7426" max="7426" width="4.7265625" customWidth="1"/>
    <col min="7427" max="7427" width="21" customWidth="1"/>
    <col min="7428" max="7428" width="15" customWidth="1"/>
    <col min="7429" max="7429" width="16.6328125" customWidth="1"/>
    <col min="7430" max="7430" width="15.453125" customWidth="1"/>
    <col min="7431" max="7505" width="9.26953125" customWidth="1"/>
    <col min="7681" max="7681" width="33" customWidth="1"/>
    <col min="7682" max="7682" width="4.7265625" customWidth="1"/>
    <col min="7683" max="7683" width="21" customWidth="1"/>
    <col min="7684" max="7684" width="15" customWidth="1"/>
    <col min="7685" max="7685" width="16.6328125" customWidth="1"/>
    <col min="7686" max="7686" width="15.453125" customWidth="1"/>
    <col min="7687" max="7761" width="9.26953125" customWidth="1"/>
    <col min="7937" max="7937" width="33" customWidth="1"/>
    <col min="7938" max="7938" width="4.7265625" customWidth="1"/>
    <col min="7939" max="7939" width="21" customWidth="1"/>
    <col min="7940" max="7940" width="15" customWidth="1"/>
    <col min="7941" max="7941" width="16.6328125" customWidth="1"/>
    <col min="7942" max="7942" width="15.453125" customWidth="1"/>
    <col min="7943" max="8017" width="9.26953125" customWidth="1"/>
    <col min="8193" max="8193" width="33" customWidth="1"/>
    <col min="8194" max="8194" width="4.7265625" customWidth="1"/>
    <col min="8195" max="8195" width="21" customWidth="1"/>
    <col min="8196" max="8196" width="15" customWidth="1"/>
    <col min="8197" max="8197" width="16.6328125" customWidth="1"/>
    <col min="8198" max="8198" width="15.453125" customWidth="1"/>
    <col min="8199" max="8273" width="9.26953125" customWidth="1"/>
    <col min="8449" max="8449" width="33" customWidth="1"/>
    <col min="8450" max="8450" width="4.7265625" customWidth="1"/>
    <col min="8451" max="8451" width="21" customWidth="1"/>
    <col min="8452" max="8452" width="15" customWidth="1"/>
    <col min="8453" max="8453" width="16.6328125" customWidth="1"/>
    <col min="8454" max="8454" width="15.453125" customWidth="1"/>
    <col min="8455" max="8529" width="9.26953125" customWidth="1"/>
    <col min="8705" max="8705" width="33" customWidth="1"/>
    <col min="8706" max="8706" width="4.7265625" customWidth="1"/>
    <col min="8707" max="8707" width="21" customWidth="1"/>
    <col min="8708" max="8708" width="15" customWidth="1"/>
    <col min="8709" max="8709" width="16.6328125" customWidth="1"/>
    <col min="8710" max="8710" width="15.453125" customWidth="1"/>
    <col min="8711" max="8785" width="9.26953125" customWidth="1"/>
    <col min="8961" max="8961" width="33" customWidth="1"/>
    <col min="8962" max="8962" width="4.7265625" customWidth="1"/>
    <col min="8963" max="8963" width="21" customWidth="1"/>
    <col min="8964" max="8964" width="15" customWidth="1"/>
    <col min="8965" max="8965" width="16.6328125" customWidth="1"/>
    <col min="8966" max="8966" width="15.453125" customWidth="1"/>
    <col min="8967" max="9041" width="9.26953125" customWidth="1"/>
    <col min="9217" max="9217" width="33" customWidth="1"/>
    <col min="9218" max="9218" width="4.7265625" customWidth="1"/>
    <col min="9219" max="9219" width="21" customWidth="1"/>
    <col min="9220" max="9220" width="15" customWidth="1"/>
    <col min="9221" max="9221" width="16.6328125" customWidth="1"/>
    <col min="9222" max="9222" width="15.453125" customWidth="1"/>
    <col min="9223" max="9297" width="9.26953125" customWidth="1"/>
    <col min="9473" max="9473" width="33" customWidth="1"/>
    <col min="9474" max="9474" width="4.7265625" customWidth="1"/>
    <col min="9475" max="9475" width="21" customWidth="1"/>
    <col min="9476" max="9476" width="15" customWidth="1"/>
    <col min="9477" max="9477" width="16.6328125" customWidth="1"/>
    <col min="9478" max="9478" width="15.453125" customWidth="1"/>
    <col min="9479" max="9553" width="9.26953125" customWidth="1"/>
    <col min="9729" max="9729" width="33" customWidth="1"/>
    <col min="9730" max="9730" width="4.7265625" customWidth="1"/>
    <col min="9731" max="9731" width="21" customWidth="1"/>
    <col min="9732" max="9732" width="15" customWidth="1"/>
    <col min="9733" max="9733" width="16.6328125" customWidth="1"/>
    <col min="9734" max="9734" width="15.453125" customWidth="1"/>
    <col min="9735" max="9809" width="9.26953125" customWidth="1"/>
    <col min="9985" max="9985" width="33" customWidth="1"/>
    <col min="9986" max="9986" width="4.7265625" customWidth="1"/>
    <col min="9987" max="9987" width="21" customWidth="1"/>
    <col min="9988" max="9988" width="15" customWidth="1"/>
    <col min="9989" max="9989" width="16.6328125" customWidth="1"/>
    <col min="9990" max="9990" width="15.453125" customWidth="1"/>
    <col min="9991" max="10065" width="9.26953125" customWidth="1"/>
    <col min="10241" max="10241" width="33" customWidth="1"/>
    <col min="10242" max="10242" width="4.7265625" customWidth="1"/>
    <col min="10243" max="10243" width="21" customWidth="1"/>
    <col min="10244" max="10244" width="15" customWidth="1"/>
    <col min="10245" max="10245" width="16.6328125" customWidth="1"/>
    <col min="10246" max="10246" width="15.453125" customWidth="1"/>
    <col min="10247" max="10321" width="9.26953125" customWidth="1"/>
    <col min="10497" max="10497" width="33" customWidth="1"/>
    <col min="10498" max="10498" width="4.7265625" customWidth="1"/>
    <col min="10499" max="10499" width="21" customWidth="1"/>
    <col min="10500" max="10500" width="15" customWidth="1"/>
    <col min="10501" max="10501" width="16.6328125" customWidth="1"/>
    <col min="10502" max="10502" width="15.453125" customWidth="1"/>
    <col min="10503" max="10577" width="9.26953125" customWidth="1"/>
    <col min="10753" max="10753" width="33" customWidth="1"/>
    <col min="10754" max="10754" width="4.7265625" customWidth="1"/>
    <col min="10755" max="10755" width="21" customWidth="1"/>
    <col min="10756" max="10756" width="15" customWidth="1"/>
    <col min="10757" max="10757" width="16.6328125" customWidth="1"/>
    <col min="10758" max="10758" width="15.453125" customWidth="1"/>
    <col min="10759" max="10833" width="9.26953125" customWidth="1"/>
    <col min="11009" max="11009" width="33" customWidth="1"/>
    <col min="11010" max="11010" width="4.7265625" customWidth="1"/>
    <col min="11011" max="11011" width="21" customWidth="1"/>
    <col min="11012" max="11012" width="15" customWidth="1"/>
    <col min="11013" max="11013" width="16.6328125" customWidth="1"/>
    <col min="11014" max="11014" width="15.453125" customWidth="1"/>
    <col min="11015" max="11089" width="9.26953125" customWidth="1"/>
    <col min="11265" max="11265" width="33" customWidth="1"/>
    <col min="11266" max="11266" width="4.7265625" customWidth="1"/>
    <col min="11267" max="11267" width="21" customWidth="1"/>
    <col min="11268" max="11268" width="15" customWidth="1"/>
    <col min="11269" max="11269" width="16.6328125" customWidth="1"/>
    <col min="11270" max="11270" width="15.453125" customWidth="1"/>
    <col min="11271" max="11345" width="9.26953125" customWidth="1"/>
    <col min="11521" max="11521" width="33" customWidth="1"/>
    <col min="11522" max="11522" width="4.7265625" customWidth="1"/>
    <col min="11523" max="11523" width="21" customWidth="1"/>
    <col min="11524" max="11524" width="15" customWidth="1"/>
    <col min="11525" max="11525" width="16.6328125" customWidth="1"/>
    <col min="11526" max="11526" width="15.453125" customWidth="1"/>
    <col min="11527" max="11601" width="9.26953125" customWidth="1"/>
    <col min="11777" max="11777" width="33" customWidth="1"/>
    <col min="11778" max="11778" width="4.7265625" customWidth="1"/>
    <col min="11779" max="11779" width="21" customWidth="1"/>
    <col min="11780" max="11780" width="15" customWidth="1"/>
    <col min="11781" max="11781" width="16.6328125" customWidth="1"/>
    <col min="11782" max="11782" width="15.453125" customWidth="1"/>
    <col min="11783" max="11857" width="9.26953125" customWidth="1"/>
    <col min="12033" max="12033" width="33" customWidth="1"/>
    <col min="12034" max="12034" width="4.7265625" customWidth="1"/>
    <col min="12035" max="12035" width="21" customWidth="1"/>
    <col min="12036" max="12036" width="15" customWidth="1"/>
    <col min="12037" max="12037" width="16.6328125" customWidth="1"/>
    <col min="12038" max="12038" width="15.453125" customWidth="1"/>
    <col min="12039" max="12113" width="9.26953125" customWidth="1"/>
    <col min="12289" max="12289" width="33" customWidth="1"/>
    <col min="12290" max="12290" width="4.7265625" customWidth="1"/>
    <col min="12291" max="12291" width="21" customWidth="1"/>
    <col min="12292" max="12292" width="15" customWidth="1"/>
    <col min="12293" max="12293" width="16.6328125" customWidth="1"/>
    <col min="12294" max="12294" width="15.453125" customWidth="1"/>
    <col min="12295" max="12369" width="9.26953125" customWidth="1"/>
    <col min="12545" max="12545" width="33" customWidth="1"/>
    <col min="12546" max="12546" width="4.7265625" customWidth="1"/>
    <col min="12547" max="12547" width="21" customWidth="1"/>
    <col min="12548" max="12548" width="15" customWidth="1"/>
    <col min="12549" max="12549" width="16.6328125" customWidth="1"/>
    <col min="12550" max="12550" width="15.453125" customWidth="1"/>
    <col min="12551" max="12625" width="9.26953125" customWidth="1"/>
    <col min="12801" max="12801" width="33" customWidth="1"/>
    <col min="12802" max="12802" width="4.7265625" customWidth="1"/>
    <col min="12803" max="12803" width="21" customWidth="1"/>
    <col min="12804" max="12804" width="15" customWidth="1"/>
    <col min="12805" max="12805" width="16.6328125" customWidth="1"/>
    <col min="12806" max="12806" width="15.453125" customWidth="1"/>
    <col min="12807" max="12881" width="9.26953125" customWidth="1"/>
    <col min="13057" max="13057" width="33" customWidth="1"/>
    <col min="13058" max="13058" width="4.7265625" customWidth="1"/>
    <col min="13059" max="13059" width="21" customWidth="1"/>
    <col min="13060" max="13060" width="15" customWidth="1"/>
    <col min="13061" max="13061" width="16.6328125" customWidth="1"/>
    <col min="13062" max="13062" width="15.453125" customWidth="1"/>
    <col min="13063" max="13137" width="9.26953125" customWidth="1"/>
    <col min="13313" max="13313" width="33" customWidth="1"/>
    <col min="13314" max="13314" width="4.7265625" customWidth="1"/>
    <col min="13315" max="13315" width="21" customWidth="1"/>
    <col min="13316" max="13316" width="15" customWidth="1"/>
    <col min="13317" max="13317" width="16.6328125" customWidth="1"/>
    <col min="13318" max="13318" width="15.453125" customWidth="1"/>
    <col min="13319" max="13393" width="9.26953125" customWidth="1"/>
    <col min="13569" max="13569" width="33" customWidth="1"/>
    <col min="13570" max="13570" width="4.7265625" customWidth="1"/>
    <col min="13571" max="13571" width="21" customWidth="1"/>
    <col min="13572" max="13572" width="15" customWidth="1"/>
    <col min="13573" max="13573" width="16.6328125" customWidth="1"/>
    <col min="13574" max="13574" width="15.453125" customWidth="1"/>
    <col min="13575" max="13649" width="9.26953125" customWidth="1"/>
    <col min="13825" max="13825" width="33" customWidth="1"/>
    <col min="13826" max="13826" width="4.7265625" customWidth="1"/>
    <col min="13827" max="13827" width="21" customWidth="1"/>
    <col min="13828" max="13828" width="15" customWidth="1"/>
    <col min="13829" max="13829" width="16.6328125" customWidth="1"/>
    <col min="13830" max="13830" width="15.453125" customWidth="1"/>
    <col min="13831" max="13905" width="9.26953125" customWidth="1"/>
    <col min="14081" max="14081" width="33" customWidth="1"/>
    <col min="14082" max="14082" width="4.7265625" customWidth="1"/>
    <col min="14083" max="14083" width="21" customWidth="1"/>
    <col min="14084" max="14084" width="15" customWidth="1"/>
    <col min="14085" max="14085" width="16.6328125" customWidth="1"/>
    <col min="14086" max="14086" width="15.453125" customWidth="1"/>
    <col min="14087" max="14161" width="9.26953125" customWidth="1"/>
    <col min="14337" max="14337" width="33" customWidth="1"/>
    <col min="14338" max="14338" width="4.7265625" customWidth="1"/>
    <col min="14339" max="14339" width="21" customWidth="1"/>
    <col min="14340" max="14340" width="15" customWidth="1"/>
    <col min="14341" max="14341" width="16.6328125" customWidth="1"/>
    <col min="14342" max="14342" width="15.453125" customWidth="1"/>
    <col min="14343" max="14417" width="9.26953125" customWidth="1"/>
    <col min="14593" max="14593" width="33" customWidth="1"/>
    <col min="14594" max="14594" width="4.7265625" customWidth="1"/>
    <col min="14595" max="14595" width="21" customWidth="1"/>
    <col min="14596" max="14596" width="15" customWidth="1"/>
    <col min="14597" max="14597" width="16.6328125" customWidth="1"/>
    <col min="14598" max="14598" width="15.453125" customWidth="1"/>
    <col min="14599" max="14673" width="9.26953125" customWidth="1"/>
    <col min="14849" max="14849" width="33" customWidth="1"/>
    <col min="14850" max="14850" width="4.7265625" customWidth="1"/>
    <col min="14851" max="14851" width="21" customWidth="1"/>
    <col min="14852" max="14852" width="15" customWidth="1"/>
    <col min="14853" max="14853" width="16.6328125" customWidth="1"/>
    <col min="14854" max="14854" width="15.453125" customWidth="1"/>
    <col min="14855" max="14929" width="9.26953125" customWidth="1"/>
    <col min="15105" max="15105" width="33" customWidth="1"/>
    <col min="15106" max="15106" width="4.7265625" customWidth="1"/>
    <col min="15107" max="15107" width="21" customWidth="1"/>
    <col min="15108" max="15108" width="15" customWidth="1"/>
    <col min="15109" max="15109" width="16.6328125" customWidth="1"/>
    <col min="15110" max="15110" width="15.453125" customWidth="1"/>
    <col min="15111" max="15185" width="9.26953125" customWidth="1"/>
    <col min="15361" max="15361" width="33" customWidth="1"/>
    <col min="15362" max="15362" width="4.7265625" customWidth="1"/>
    <col min="15363" max="15363" width="21" customWidth="1"/>
    <col min="15364" max="15364" width="15" customWidth="1"/>
    <col min="15365" max="15365" width="16.6328125" customWidth="1"/>
    <col min="15366" max="15366" width="15.453125" customWidth="1"/>
    <col min="15367" max="15441" width="9.26953125" customWidth="1"/>
    <col min="15617" max="15617" width="33" customWidth="1"/>
    <col min="15618" max="15618" width="4.7265625" customWidth="1"/>
    <col min="15619" max="15619" width="21" customWidth="1"/>
    <col min="15620" max="15620" width="15" customWidth="1"/>
    <col min="15621" max="15621" width="16.6328125" customWidth="1"/>
    <col min="15622" max="15622" width="15.453125" customWidth="1"/>
    <col min="15623" max="15697" width="9.26953125" customWidth="1"/>
    <col min="15873" max="15873" width="33" customWidth="1"/>
    <col min="15874" max="15874" width="4.7265625" customWidth="1"/>
    <col min="15875" max="15875" width="21" customWidth="1"/>
    <col min="15876" max="15876" width="15" customWidth="1"/>
    <col min="15877" max="15877" width="16.6328125" customWidth="1"/>
    <col min="15878" max="15878" width="15.453125" customWidth="1"/>
    <col min="15879" max="15953" width="9.26953125" customWidth="1"/>
    <col min="16129" max="16129" width="33" customWidth="1"/>
    <col min="16130" max="16130" width="4.7265625" customWidth="1"/>
    <col min="16131" max="16131" width="21" customWidth="1"/>
    <col min="16132" max="16132" width="15" customWidth="1"/>
    <col min="16133" max="16133" width="16.6328125" customWidth="1"/>
    <col min="16134" max="16134" width="15.453125" customWidth="1"/>
    <col min="16135" max="16209" width="9.26953125" customWidth="1"/>
  </cols>
  <sheetData>
    <row r="1" spans="1:6" ht="14.5" thickBot="1" x14ac:dyDescent="0.35">
      <c r="A1" s="1" t="s">
        <v>0</v>
      </c>
      <c r="B1" s="1"/>
      <c r="C1" s="2"/>
      <c r="D1" s="2"/>
      <c r="E1" s="2"/>
      <c r="F1" s="3" t="s">
        <v>1</v>
      </c>
    </row>
    <row r="2" spans="1:6" x14ac:dyDescent="0.25">
      <c r="A2" s="4"/>
      <c r="B2" s="5"/>
      <c r="C2" s="4"/>
      <c r="D2" s="6"/>
      <c r="E2" s="6"/>
      <c r="F2" s="7" t="s">
        <v>2</v>
      </c>
    </row>
    <row r="3" spans="1:6" x14ac:dyDescent="0.25">
      <c r="A3" s="8" t="s">
        <v>3</v>
      </c>
      <c r="B3" s="8"/>
      <c r="C3" s="8"/>
      <c r="D3" s="9"/>
      <c r="E3" s="10" t="s">
        <v>4</v>
      </c>
      <c r="F3" s="11">
        <v>45962</v>
      </c>
    </row>
    <row r="4" spans="1:6" x14ac:dyDescent="0.25">
      <c r="A4" s="5" t="s">
        <v>5</v>
      </c>
      <c r="B4" s="5"/>
      <c r="C4" s="5"/>
      <c r="D4" s="12"/>
      <c r="E4" s="13" t="s">
        <v>6</v>
      </c>
      <c r="F4" s="14">
        <v>77265565</v>
      </c>
    </row>
    <row r="5" spans="1:6" ht="14" x14ac:dyDescent="0.3">
      <c r="A5" s="5" t="s">
        <v>7</v>
      </c>
      <c r="B5" s="15" t="s">
        <v>8</v>
      </c>
      <c r="C5" s="15"/>
      <c r="D5" s="15"/>
      <c r="E5" s="13" t="s">
        <v>9</v>
      </c>
      <c r="F5" s="16" t="s">
        <v>10</v>
      </c>
    </row>
    <row r="6" spans="1:6" ht="23.25" customHeight="1" x14ac:dyDescent="0.25">
      <c r="A6" s="17" t="s">
        <v>11</v>
      </c>
      <c r="B6" s="5"/>
      <c r="C6" s="18" t="s">
        <v>12</v>
      </c>
      <c r="D6" s="18"/>
      <c r="E6" s="13" t="s">
        <v>13</v>
      </c>
      <c r="F6" s="19" t="s">
        <v>14</v>
      </c>
    </row>
    <row r="7" spans="1:6" x14ac:dyDescent="0.25">
      <c r="A7" s="20" t="s">
        <v>15</v>
      </c>
      <c r="B7" s="5"/>
      <c r="C7" s="5"/>
      <c r="D7" s="12"/>
      <c r="E7" s="12"/>
      <c r="F7" s="21"/>
    </row>
    <row r="8" spans="1:6" ht="13.5" thickBot="1" x14ac:dyDescent="0.35">
      <c r="A8" s="5" t="s">
        <v>16</v>
      </c>
      <c r="B8" s="22"/>
      <c r="C8" s="22"/>
      <c r="D8" s="12"/>
      <c r="E8" s="12"/>
      <c r="F8" s="23" t="s">
        <v>17</v>
      </c>
    </row>
    <row r="9" spans="1:6" ht="13" x14ac:dyDescent="0.3">
      <c r="A9" s="5"/>
      <c r="B9" s="22" t="s">
        <v>18</v>
      </c>
      <c r="C9" s="22"/>
      <c r="D9" s="12"/>
      <c r="E9" s="12"/>
      <c r="F9" s="24"/>
    </row>
    <row r="10" spans="1:6" ht="13" x14ac:dyDescent="0.3">
      <c r="B10" s="25"/>
      <c r="C10" s="25"/>
    </row>
    <row r="11" spans="1:6" ht="12.75" customHeight="1" x14ac:dyDescent="0.25">
      <c r="A11" s="26" t="s">
        <v>19</v>
      </c>
      <c r="B11" s="27" t="s">
        <v>20</v>
      </c>
      <c r="C11" s="28" t="s">
        <v>21</v>
      </c>
      <c r="D11" s="29" t="s">
        <v>22</v>
      </c>
      <c r="E11" s="30" t="s">
        <v>23</v>
      </c>
      <c r="F11" s="30" t="s">
        <v>24</v>
      </c>
    </row>
    <row r="12" spans="1:6" x14ac:dyDescent="0.25">
      <c r="A12" s="26"/>
      <c r="B12" s="27"/>
      <c r="C12" s="28"/>
      <c r="D12" s="31"/>
      <c r="E12" s="32"/>
      <c r="F12" s="32"/>
    </row>
    <row r="13" spans="1:6" x14ac:dyDescent="0.25">
      <c r="A13" s="26"/>
      <c r="B13" s="27"/>
      <c r="C13" s="28"/>
      <c r="D13" s="33"/>
      <c r="E13" s="34"/>
      <c r="F13" s="34"/>
    </row>
    <row r="14" spans="1:6" x14ac:dyDescent="0.25">
      <c r="A14" s="35">
        <v>1</v>
      </c>
      <c r="B14" s="36" t="s">
        <v>25</v>
      </c>
      <c r="C14" s="36" t="s">
        <v>26</v>
      </c>
      <c r="D14" s="35">
        <v>4</v>
      </c>
      <c r="E14" s="35">
        <v>5</v>
      </c>
      <c r="F14" s="35">
        <v>6</v>
      </c>
    </row>
    <row r="15" spans="1:6" ht="13" x14ac:dyDescent="0.3">
      <c r="A15" s="37" t="s">
        <v>27</v>
      </c>
      <c r="B15" s="38" t="s">
        <v>28</v>
      </c>
      <c r="C15" s="38" t="s">
        <v>29</v>
      </c>
      <c r="D15" s="39">
        <f>D17+D27+D31+D87+D198</f>
        <v>692942182.13999999</v>
      </c>
      <c r="E15" s="39">
        <f>E17+E27+E31+E87+E198</f>
        <v>578749506.92999995</v>
      </c>
      <c r="F15" s="39">
        <f>D15-E15</f>
        <v>114192675.21000004</v>
      </c>
    </row>
    <row r="16" spans="1:6" ht="13" x14ac:dyDescent="0.3">
      <c r="A16" s="40" t="s">
        <v>30</v>
      </c>
      <c r="B16" s="36"/>
      <c r="C16" s="36"/>
      <c r="D16" s="41"/>
      <c r="E16" s="41" t="s">
        <v>31</v>
      </c>
      <c r="F16" s="41"/>
    </row>
    <row r="17" spans="1:6" ht="13" x14ac:dyDescent="0.3">
      <c r="A17" s="40" t="s">
        <v>32</v>
      </c>
      <c r="B17" s="42" t="s">
        <v>33</v>
      </c>
      <c r="C17" s="43" t="s">
        <v>34</v>
      </c>
      <c r="D17" s="39">
        <f>D18+D23+D25</f>
        <v>104000</v>
      </c>
      <c r="E17" s="39">
        <f>E18+E23+E25</f>
        <v>86721.45</v>
      </c>
      <c r="F17" s="39">
        <f t="shared" ref="F17:F64" si="0">D17-E17</f>
        <v>17278.550000000003</v>
      </c>
    </row>
    <row r="18" spans="1:6" ht="26" x14ac:dyDescent="0.3">
      <c r="A18" s="44" t="s">
        <v>35</v>
      </c>
      <c r="B18" s="45" t="s">
        <v>28</v>
      </c>
      <c r="C18" s="43" t="s">
        <v>36</v>
      </c>
      <c r="D18" s="39">
        <f>D19+D21</f>
        <v>104000</v>
      </c>
      <c r="E18" s="39">
        <f>E19+E21</f>
        <v>86721.45</v>
      </c>
      <c r="F18" s="39">
        <f t="shared" si="0"/>
        <v>17278.550000000003</v>
      </c>
    </row>
    <row r="19" spans="1:6" ht="52" x14ac:dyDescent="0.3">
      <c r="A19" s="46" t="s">
        <v>37</v>
      </c>
      <c r="B19" s="47" t="s">
        <v>28</v>
      </c>
      <c r="C19" s="43" t="s">
        <v>38</v>
      </c>
      <c r="D19" s="39">
        <f>SUM(D20:D20)</f>
        <v>104000</v>
      </c>
      <c r="E19" s="39">
        <f>SUM(E20:E20)</f>
        <v>86721.45</v>
      </c>
      <c r="F19" s="39">
        <f t="shared" si="0"/>
        <v>17278.550000000003</v>
      </c>
    </row>
    <row r="20" spans="1:6" ht="31.5" x14ac:dyDescent="0.25">
      <c r="A20" s="48" t="s">
        <v>39</v>
      </c>
      <c r="B20" s="47" t="s">
        <v>28</v>
      </c>
      <c r="C20" s="49" t="s">
        <v>40</v>
      </c>
      <c r="D20" s="41">
        <v>104000</v>
      </c>
      <c r="E20" s="41">
        <f>951+4501+12901+12683.6+15182.85+2601+9400+9200+5950+13351</f>
        <v>86721.45</v>
      </c>
      <c r="F20" s="41">
        <f t="shared" si="0"/>
        <v>17278.550000000003</v>
      </c>
    </row>
    <row r="21" spans="1:6" ht="19.5" hidden="1" customHeight="1" x14ac:dyDescent="0.3">
      <c r="A21" s="46" t="s">
        <v>41</v>
      </c>
      <c r="B21" s="47" t="s">
        <v>28</v>
      </c>
      <c r="C21" s="43" t="s">
        <v>42</v>
      </c>
      <c r="D21" s="39">
        <f>SUM(D22:D22)</f>
        <v>0</v>
      </c>
      <c r="E21" s="39">
        <f>SUM(E22:E22)</f>
        <v>0</v>
      </c>
      <c r="F21" s="39">
        <f t="shared" si="0"/>
        <v>0</v>
      </c>
    </row>
    <row r="22" spans="1:6" ht="26" hidden="1" customHeight="1" x14ac:dyDescent="0.25">
      <c r="A22" s="48" t="s">
        <v>43</v>
      </c>
      <c r="B22" s="47" t="s">
        <v>28</v>
      </c>
      <c r="C22" s="49" t="s">
        <v>44</v>
      </c>
      <c r="D22" s="41"/>
      <c r="E22" s="41">
        <f>1746.69-1746.69</f>
        <v>0</v>
      </c>
      <c r="F22" s="41">
        <f t="shared" si="0"/>
        <v>0</v>
      </c>
    </row>
    <row r="23" spans="1:6" ht="30" hidden="1" customHeight="1" x14ac:dyDescent="0.3">
      <c r="A23" s="46" t="s">
        <v>45</v>
      </c>
      <c r="B23" s="45" t="s">
        <v>28</v>
      </c>
      <c r="C23" s="43" t="s">
        <v>46</v>
      </c>
      <c r="D23" s="39">
        <f>D24</f>
        <v>0</v>
      </c>
      <c r="E23" s="39">
        <f>E24</f>
        <v>0</v>
      </c>
      <c r="F23" s="39">
        <f t="shared" si="0"/>
        <v>0</v>
      </c>
    </row>
    <row r="24" spans="1:6" ht="30.4" hidden="1" customHeight="1" x14ac:dyDescent="0.25">
      <c r="A24" s="48" t="s">
        <v>47</v>
      </c>
      <c r="B24" s="47" t="s">
        <v>28</v>
      </c>
      <c r="C24" s="49" t="s">
        <v>48</v>
      </c>
      <c r="D24" s="41"/>
      <c r="E24" s="41"/>
      <c r="F24" s="41">
        <f t="shared" si="0"/>
        <v>0</v>
      </c>
    </row>
    <row r="25" spans="1:6" ht="25.15" hidden="1" customHeight="1" x14ac:dyDescent="0.3">
      <c r="A25" s="46" t="s">
        <v>49</v>
      </c>
      <c r="B25" s="45" t="s">
        <v>28</v>
      </c>
      <c r="C25" s="43" t="s">
        <v>50</v>
      </c>
      <c r="D25" s="39">
        <f>D26</f>
        <v>0</v>
      </c>
      <c r="E25" s="39">
        <f>E26</f>
        <v>0</v>
      </c>
      <c r="F25" s="39">
        <f>D25-E25</f>
        <v>0</v>
      </c>
    </row>
    <row r="26" spans="1:6" ht="31.5" hidden="1" x14ac:dyDescent="0.25">
      <c r="A26" s="48" t="s">
        <v>51</v>
      </c>
      <c r="B26" s="47" t="s">
        <v>28</v>
      </c>
      <c r="C26" s="49" t="s">
        <v>52</v>
      </c>
      <c r="D26" s="41"/>
      <c r="E26" s="41"/>
      <c r="F26" s="41">
        <f>D26-E26</f>
        <v>0</v>
      </c>
    </row>
    <row r="27" spans="1:6" ht="13" hidden="1" x14ac:dyDescent="0.3">
      <c r="A27" s="46"/>
      <c r="B27" s="50" t="s">
        <v>33</v>
      </c>
      <c r="C27" s="43" t="s">
        <v>53</v>
      </c>
      <c r="D27" s="39">
        <f>D28</f>
        <v>0</v>
      </c>
      <c r="E27" s="39">
        <f>E28</f>
        <v>0</v>
      </c>
      <c r="F27" s="39">
        <f t="shared" si="0"/>
        <v>0</v>
      </c>
    </row>
    <row r="28" spans="1:6" hidden="1" x14ac:dyDescent="0.25">
      <c r="A28" s="48" t="s">
        <v>35</v>
      </c>
      <c r="B28" s="47" t="s">
        <v>28</v>
      </c>
      <c r="C28" s="49" t="s">
        <v>54</v>
      </c>
      <c r="D28" s="41">
        <f>D29</f>
        <v>0</v>
      </c>
      <c r="E28" s="41">
        <f>E29</f>
        <v>0</v>
      </c>
      <c r="F28" s="41">
        <f t="shared" si="0"/>
        <v>0</v>
      </c>
    </row>
    <row r="29" spans="1:6" hidden="1" x14ac:dyDescent="0.25">
      <c r="A29" s="48" t="s">
        <v>55</v>
      </c>
      <c r="B29" s="47" t="s">
        <v>28</v>
      </c>
      <c r="C29" s="49" t="s">
        <v>56</v>
      </c>
      <c r="D29" s="41">
        <f>SUM(D30:D30)</f>
        <v>0</v>
      </c>
      <c r="E29" s="41">
        <f>SUM(E30:E30)</f>
        <v>0</v>
      </c>
      <c r="F29" s="41">
        <f>D29-E29</f>
        <v>0</v>
      </c>
    </row>
    <row r="30" spans="1:6" ht="73.5" hidden="1" x14ac:dyDescent="0.25">
      <c r="A30" s="48" t="s">
        <v>57</v>
      </c>
      <c r="B30" s="47" t="s">
        <v>28</v>
      </c>
      <c r="C30" s="49" t="s">
        <v>58</v>
      </c>
      <c r="D30" s="41"/>
      <c r="E30" s="41">
        <f>20000-20000</f>
        <v>0</v>
      </c>
      <c r="F30" s="41">
        <f>D30-E30</f>
        <v>0</v>
      </c>
    </row>
    <row r="31" spans="1:6" ht="13" x14ac:dyDescent="0.3">
      <c r="A31" s="51" t="s">
        <v>32</v>
      </c>
      <c r="B31" s="42" t="s">
        <v>33</v>
      </c>
      <c r="C31" s="43" t="s">
        <v>59</v>
      </c>
      <c r="D31" s="39">
        <f>D32+D64</f>
        <v>420046774.13999999</v>
      </c>
      <c r="E31" s="39">
        <f>E32+E64</f>
        <v>357685546.92000002</v>
      </c>
      <c r="F31" s="39">
        <f t="shared" si="0"/>
        <v>62361227.219999969</v>
      </c>
    </row>
    <row r="32" spans="1:6" ht="25.5" customHeight="1" x14ac:dyDescent="0.3">
      <c r="A32" s="44" t="s">
        <v>35</v>
      </c>
      <c r="B32" s="42" t="s">
        <v>28</v>
      </c>
      <c r="C32" s="43" t="s">
        <v>60</v>
      </c>
      <c r="D32" s="39">
        <f>D33+D35+D44+D47+D52+D59</f>
        <v>76575198.200000003</v>
      </c>
      <c r="E32" s="39">
        <f>E33+E35+E44+E47+E52+E59</f>
        <v>65337925.199999996</v>
      </c>
      <c r="F32" s="39">
        <f t="shared" si="0"/>
        <v>11237273.000000007</v>
      </c>
    </row>
    <row r="33" spans="1:6" ht="13" hidden="1" x14ac:dyDescent="0.3">
      <c r="A33" s="46" t="s">
        <v>61</v>
      </c>
      <c r="B33" s="47" t="s">
        <v>28</v>
      </c>
      <c r="C33" s="43" t="s">
        <v>62</v>
      </c>
      <c r="D33" s="39">
        <f>SUM(D34:D34)</f>
        <v>0</v>
      </c>
      <c r="E33" s="39">
        <f>SUM(E34:E34)</f>
        <v>0</v>
      </c>
      <c r="F33" s="39">
        <f>D33-E33</f>
        <v>0</v>
      </c>
    </row>
    <row r="34" spans="1:6" ht="2" hidden="1" customHeight="1" x14ac:dyDescent="0.25">
      <c r="A34" s="48" t="s">
        <v>63</v>
      </c>
      <c r="B34" s="47" t="s">
        <v>28</v>
      </c>
      <c r="C34" s="49" t="s">
        <v>64</v>
      </c>
      <c r="D34" s="41"/>
      <c r="E34" s="41"/>
      <c r="F34" s="41">
        <f>D34-E34</f>
        <v>0</v>
      </c>
    </row>
    <row r="35" spans="1:6" ht="45" customHeight="1" x14ac:dyDescent="0.3">
      <c r="A35" s="46" t="s">
        <v>65</v>
      </c>
      <c r="B35" s="47" t="s">
        <v>28</v>
      </c>
      <c r="C35" s="43" t="s">
        <v>66</v>
      </c>
      <c r="D35" s="39">
        <f>SUM(D36:D43)</f>
        <v>66110500</v>
      </c>
      <c r="E35" s="39">
        <f>SUM(E36:E43)</f>
        <v>56913980</v>
      </c>
      <c r="F35" s="39">
        <f t="shared" si="0"/>
        <v>9196520</v>
      </c>
    </row>
    <row r="36" spans="1:6" ht="64.5" customHeight="1" x14ac:dyDescent="0.25">
      <c r="A36" s="52" t="s">
        <v>67</v>
      </c>
      <c r="B36" s="47" t="s">
        <v>28</v>
      </c>
      <c r="C36" s="49" t="s">
        <v>68</v>
      </c>
      <c r="D36" s="41">
        <v>24320000</v>
      </c>
      <c r="E36" s="41">
        <f>1886714.03+1968743.2+2019230.09+2193986.12+2044701.24+2174510.55+1904654.28+2127734.13+2077919.36+2428276.62</f>
        <v>20826469.620000001</v>
      </c>
      <c r="F36" s="41">
        <f t="shared" si="0"/>
        <v>3493530.379999999</v>
      </c>
    </row>
    <row r="37" spans="1:6" ht="63.5" customHeight="1" x14ac:dyDescent="0.25">
      <c r="A37" s="52" t="s">
        <v>69</v>
      </c>
      <c r="B37" s="47" t="s">
        <v>28</v>
      </c>
      <c r="C37" s="49" t="s">
        <v>70</v>
      </c>
      <c r="D37" s="41">
        <v>14078000</v>
      </c>
      <c r="E37" s="41">
        <f>945227.8+1486432.29+1448753.54+1002724.97+1183391.55+1243380.54+865669.9+1549278.58+2054284.33+1267237.15</f>
        <v>13046380.65</v>
      </c>
      <c r="F37" s="41">
        <f t="shared" si="0"/>
        <v>1031619.3499999996</v>
      </c>
    </row>
    <row r="38" spans="1:6" ht="53" customHeight="1" x14ac:dyDescent="0.25">
      <c r="A38" s="52" t="s">
        <v>71</v>
      </c>
      <c r="B38" s="47" t="s">
        <v>28</v>
      </c>
      <c r="C38" s="49" t="s">
        <v>72</v>
      </c>
      <c r="D38" s="41">
        <v>82200</v>
      </c>
      <c r="E38" s="41">
        <f>22110.8+22110.8+32520.97</f>
        <v>76742.570000000007</v>
      </c>
      <c r="F38" s="41">
        <f t="shared" si="0"/>
        <v>5457.429999999993</v>
      </c>
    </row>
    <row r="39" spans="1:6" ht="33.5" customHeight="1" x14ac:dyDescent="0.25">
      <c r="A39" s="52" t="s">
        <v>73</v>
      </c>
      <c r="B39" s="47" t="s">
        <v>28</v>
      </c>
      <c r="C39" s="49" t="s">
        <v>74</v>
      </c>
      <c r="D39" s="41">
        <v>23212000</v>
      </c>
      <c r="E39" s="41">
        <f>1275501.63+1900763.64+1881276.15+1548018.32+2151243.54+2037536.4+1779813.63+1752886.41+2125703.22+2375550.19</f>
        <v>18828293.130000003</v>
      </c>
      <c r="F39" s="41">
        <f t="shared" si="0"/>
        <v>4383706.8699999973</v>
      </c>
    </row>
    <row r="40" spans="1:6" ht="136.9" customHeight="1" x14ac:dyDescent="0.25">
      <c r="A40" s="52" t="s">
        <v>75</v>
      </c>
      <c r="B40" s="47" t="s">
        <v>28</v>
      </c>
      <c r="C40" s="49" t="s">
        <v>76</v>
      </c>
      <c r="D40" s="41"/>
      <c r="E40" s="41">
        <v>725.8</v>
      </c>
      <c r="F40" s="41">
        <f t="shared" si="0"/>
        <v>-725.8</v>
      </c>
    </row>
    <row r="41" spans="1:6" ht="65" customHeight="1" x14ac:dyDescent="0.25">
      <c r="A41" s="52" t="s">
        <v>77</v>
      </c>
      <c r="B41" s="47" t="s">
        <v>28</v>
      </c>
      <c r="C41" s="49" t="s">
        <v>78</v>
      </c>
      <c r="D41" s="41">
        <f>2700000+200000+200000</f>
        <v>3100000</v>
      </c>
      <c r="E41" s="41">
        <f>171341.32+242546.65+349415.19+238194+339575.47+300279.47+179641.78+311805.33+528538.77+404489.81</f>
        <v>3065827.79</v>
      </c>
      <c r="F41" s="41">
        <f>D41-E41</f>
        <v>34172.209999999963</v>
      </c>
    </row>
    <row r="42" spans="1:6" ht="88.5" customHeight="1" x14ac:dyDescent="0.25">
      <c r="A42" s="52" t="s">
        <v>79</v>
      </c>
      <c r="B42" s="47" t="s">
        <v>28</v>
      </c>
      <c r="C42" s="49" t="s">
        <v>80</v>
      </c>
      <c r="D42" s="41">
        <v>756700</v>
      </c>
      <c r="E42" s="41">
        <f>53568.02+33603.96+83389.24+25084.8+76673.39+73440.88+32803.2+87699.27+47587.4+49504.12</f>
        <v>563354.28</v>
      </c>
      <c r="F42" s="41">
        <f>D42-E42</f>
        <v>193345.71999999997</v>
      </c>
    </row>
    <row r="43" spans="1:6" ht="85.5" customHeight="1" x14ac:dyDescent="0.25">
      <c r="A43" s="52" t="s">
        <v>81</v>
      </c>
      <c r="B43" s="47" t="s">
        <v>28</v>
      </c>
      <c r="C43" s="49" t="s">
        <v>82</v>
      </c>
      <c r="D43" s="41">
        <v>561600</v>
      </c>
      <c r="E43" s="41">
        <f>54536.3+60687.7+14074.39+628.88+155737.06+17660.09+21477.39+10736.73+6341+164306.62</f>
        <v>506186.16000000003</v>
      </c>
      <c r="F43" s="41">
        <f t="shared" si="0"/>
        <v>55413.839999999967</v>
      </c>
    </row>
    <row r="44" spans="1:6" ht="52" x14ac:dyDescent="0.3">
      <c r="A44" s="46" t="s">
        <v>37</v>
      </c>
      <c r="B44" s="47" t="s">
        <v>28</v>
      </c>
      <c r="C44" s="43" t="s">
        <v>83</v>
      </c>
      <c r="D44" s="39">
        <f>SUM(D45:D46)</f>
        <v>825000</v>
      </c>
      <c r="E44" s="39">
        <f>SUM(E45:E46)</f>
        <v>1146359.72</v>
      </c>
      <c r="F44" s="41">
        <f t="shared" si="0"/>
        <v>-321359.71999999997</v>
      </c>
    </row>
    <row r="45" spans="1:6" ht="31.5" x14ac:dyDescent="0.25">
      <c r="A45" s="48" t="s">
        <v>84</v>
      </c>
      <c r="B45" s="47" t="s">
        <v>28</v>
      </c>
      <c r="C45" s="49" t="s">
        <v>85</v>
      </c>
      <c r="D45" s="41">
        <f>60000+25000</f>
        <v>85000</v>
      </c>
      <c r="E45" s="41">
        <f>8540.38+7599.59+966.92+17304.42+1822.05+15517.3+6635.84+738.27</f>
        <v>59124.77</v>
      </c>
      <c r="F45" s="41">
        <f t="shared" si="0"/>
        <v>25875.230000000003</v>
      </c>
    </row>
    <row r="46" spans="1:6" ht="21" x14ac:dyDescent="0.25">
      <c r="A46" s="48" t="s">
        <v>86</v>
      </c>
      <c r="B46" s="47" t="s">
        <v>28</v>
      </c>
      <c r="C46" s="49" t="s">
        <v>87</v>
      </c>
      <c r="D46" s="41">
        <f>100000+600000+40000</f>
        <v>740000</v>
      </c>
      <c r="E46" s="41">
        <f>11391.85+15283.27+15644.22+15580.39+518892.74+94886.11+27737.49+25716.51+32893.3+329209.07</f>
        <v>1087234.95</v>
      </c>
      <c r="F46" s="41">
        <f>D46-E46</f>
        <v>-347234.94999999995</v>
      </c>
    </row>
    <row r="47" spans="1:6" ht="29.25" customHeight="1" x14ac:dyDescent="0.3">
      <c r="A47" s="53" t="s">
        <v>88</v>
      </c>
      <c r="B47" s="47" t="s">
        <v>28</v>
      </c>
      <c r="C47" s="43" t="s">
        <v>89</v>
      </c>
      <c r="D47" s="39">
        <f>SUM(D48:D51)</f>
        <v>9473200</v>
      </c>
      <c r="E47" s="39">
        <f>SUM(E48:E51)</f>
        <v>6950157.9000000004</v>
      </c>
      <c r="F47" s="39">
        <f t="shared" si="0"/>
        <v>2523042.0999999996</v>
      </c>
    </row>
    <row r="48" spans="1:6" ht="75.5" customHeight="1" x14ac:dyDescent="0.25">
      <c r="A48" s="52" t="s">
        <v>90</v>
      </c>
      <c r="B48" s="47" t="s">
        <v>28</v>
      </c>
      <c r="C48" s="49" t="s">
        <v>91</v>
      </c>
      <c r="D48" s="41">
        <f>9600+393600</f>
        <v>403200</v>
      </c>
      <c r="E48" s="41">
        <f>960+8640+329600+64000</f>
        <v>403200</v>
      </c>
      <c r="F48" s="41">
        <f>D48-E48</f>
        <v>0</v>
      </c>
    </row>
    <row r="49" spans="1:6" ht="42" x14ac:dyDescent="0.25">
      <c r="A49" s="52" t="s">
        <v>92</v>
      </c>
      <c r="B49" s="47" t="s">
        <v>28</v>
      </c>
      <c r="C49" s="49" t="s">
        <v>93</v>
      </c>
      <c r="D49" s="41">
        <f>100000+1470000</f>
        <v>1570000</v>
      </c>
      <c r="E49" s="41">
        <f>10309.01+9602.41+9621.32+1468371.57+12003.02+6814.32</f>
        <v>1516721.6500000001</v>
      </c>
      <c r="F49" s="41">
        <f>D49-E49</f>
        <v>53278.34999999986</v>
      </c>
    </row>
    <row r="50" spans="1:6" ht="55.15" hidden="1" customHeight="1" x14ac:dyDescent="0.25">
      <c r="A50" s="52" t="s">
        <v>94</v>
      </c>
      <c r="B50" s="47" t="s">
        <v>28</v>
      </c>
      <c r="C50" s="49" t="s">
        <v>95</v>
      </c>
      <c r="D50" s="41"/>
      <c r="E50" s="41"/>
      <c r="F50" s="41">
        <f t="shared" si="0"/>
        <v>0</v>
      </c>
    </row>
    <row r="51" spans="1:6" ht="42" x14ac:dyDescent="0.25">
      <c r="A51" s="48" t="s">
        <v>96</v>
      </c>
      <c r="B51" s="47" t="s">
        <v>28</v>
      </c>
      <c r="C51" s="49" t="s">
        <v>97</v>
      </c>
      <c r="D51" s="41">
        <f>6500000+1000000</f>
        <v>7500000</v>
      </c>
      <c r="E51" s="41">
        <f>459282.28+568137.85+478592.85+446516.86+494211.95+494088.17+478547.42+600325.42+491498.58+519034.87</f>
        <v>5030236.25</v>
      </c>
      <c r="F51" s="41">
        <f t="shared" si="0"/>
        <v>2469763.75</v>
      </c>
    </row>
    <row r="52" spans="1:6" s="55" customFormat="1" ht="21.75" customHeight="1" x14ac:dyDescent="0.3">
      <c r="A52" s="54" t="s">
        <v>55</v>
      </c>
      <c r="B52" s="50" t="s">
        <v>28</v>
      </c>
      <c r="C52" s="43" t="s">
        <v>98</v>
      </c>
      <c r="D52" s="39">
        <f>SUM(D53:D58)</f>
        <v>167453.20000000001</v>
      </c>
      <c r="E52" s="39">
        <f>SUM(E53:E58)</f>
        <v>328382.57999999996</v>
      </c>
      <c r="F52" s="39">
        <f t="shared" si="0"/>
        <v>-160929.37999999995</v>
      </c>
    </row>
    <row r="53" spans="1:6" s="55" customFormat="1" ht="190.5" hidden="1" customHeight="1" x14ac:dyDescent="0.3">
      <c r="A53" s="52" t="s">
        <v>99</v>
      </c>
      <c r="B53" s="47" t="s">
        <v>28</v>
      </c>
      <c r="C53" s="49" t="s">
        <v>100</v>
      </c>
      <c r="D53" s="41"/>
      <c r="E53" s="41"/>
      <c r="F53" s="41">
        <f t="shared" si="0"/>
        <v>0</v>
      </c>
    </row>
    <row r="54" spans="1:6" s="55" customFormat="1" ht="63" x14ac:dyDescent="0.3">
      <c r="A54" s="52" t="s">
        <v>101</v>
      </c>
      <c r="B54" s="47" t="s">
        <v>28</v>
      </c>
      <c r="C54" s="49" t="s">
        <v>102</v>
      </c>
      <c r="D54" s="41">
        <f>20000+147009.41</f>
        <v>167009.41</v>
      </c>
      <c r="E54" s="41">
        <f>162009.41+5000+562835.22-401905.84</f>
        <v>327938.78999999998</v>
      </c>
      <c r="F54" s="41">
        <f>D54-E54</f>
        <v>-160929.37999999998</v>
      </c>
    </row>
    <row r="55" spans="1:6" s="55" customFormat="1" ht="67.900000000000006" hidden="1" customHeight="1" x14ac:dyDescent="0.3">
      <c r="A55" s="48" t="s">
        <v>103</v>
      </c>
      <c r="B55" s="47" t="s">
        <v>28</v>
      </c>
      <c r="C55" s="49" t="s">
        <v>104</v>
      </c>
      <c r="D55" s="41"/>
      <c r="E55" s="41"/>
      <c r="F55" s="41">
        <f>D55-E55</f>
        <v>0</v>
      </c>
    </row>
    <row r="56" spans="1:6" s="55" customFormat="1" ht="51.4" hidden="1" customHeight="1" x14ac:dyDescent="0.3">
      <c r="A56" s="48" t="s">
        <v>105</v>
      </c>
      <c r="B56" s="47" t="s">
        <v>28</v>
      </c>
      <c r="C56" s="49" t="s">
        <v>106</v>
      </c>
      <c r="D56" s="41"/>
      <c r="E56" s="41"/>
      <c r="F56" s="41">
        <f t="shared" si="0"/>
        <v>0</v>
      </c>
    </row>
    <row r="57" spans="1:6" s="55" customFormat="1" ht="52.5" x14ac:dyDescent="0.3">
      <c r="A57" s="52" t="s">
        <v>107</v>
      </c>
      <c r="B57" s="47" t="s">
        <v>28</v>
      </c>
      <c r="C57" s="49" t="s">
        <v>108</v>
      </c>
      <c r="D57" s="41">
        <v>443.79</v>
      </c>
      <c r="E57" s="41">
        <f>443.79</f>
        <v>443.79</v>
      </c>
      <c r="F57" s="41">
        <f>D57-E57</f>
        <v>0</v>
      </c>
    </row>
    <row r="58" spans="1:6" ht="57" hidden="1" customHeight="1" x14ac:dyDescent="0.25">
      <c r="A58" s="48" t="s">
        <v>109</v>
      </c>
      <c r="B58" s="47" t="s">
        <v>28</v>
      </c>
      <c r="C58" s="49" t="s">
        <v>110</v>
      </c>
      <c r="D58" s="41"/>
      <c r="E58" s="41"/>
      <c r="F58" s="41">
        <f t="shared" si="0"/>
        <v>0</v>
      </c>
    </row>
    <row r="59" spans="1:6" ht="17" customHeight="1" x14ac:dyDescent="0.3">
      <c r="A59" s="46" t="s">
        <v>41</v>
      </c>
      <c r="B59" s="47" t="s">
        <v>28</v>
      </c>
      <c r="C59" s="43" t="s">
        <v>111</v>
      </c>
      <c r="D59" s="39">
        <f>SUM(D60:D61)</f>
        <v>-955</v>
      </c>
      <c r="E59" s="39">
        <f>SUM(E60:E61)</f>
        <v>-955</v>
      </c>
      <c r="F59" s="39">
        <f t="shared" si="0"/>
        <v>0</v>
      </c>
    </row>
    <row r="60" spans="1:6" ht="21" hidden="1" x14ac:dyDescent="0.25">
      <c r="A60" s="48" t="s">
        <v>43</v>
      </c>
      <c r="B60" s="47" t="s">
        <v>28</v>
      </c>
      <c r="C60" s="49" t="s">
        <v>112</v>
      </c>
      <c r="D60" s="41"/>
      <c r="E60" s="41"/>
      <c r="F60" s="41">
        <f t="shared" si="0"/>
        <v>0</v>
      </c>
    </row>
    <row r="61" spans="1:6" ht="26" x14ac:dyDescent="0.3">
      <c r="A61" s="44" t="s">
        <v>113</v>
      </c>
      <c r="B61" s="47" t="s">
        <v>28</v>
      </c>
      <c r="C61" s="43" t="s">
        <v>114</v>
      </c>
      <c r="D61" s="39">
        <f>SUM(D62:D63)</f>
        <v>-955</v>
      </c>
      <c r="E61" s="39">
        <f>SUM(E62:E63)</f>
        <v>-955</v>
      </c>
      <c r="F61" s="41">
        <f t="shared" si="0"/>
        <v>0</v>
      </c>
    </row>
    <row r="62" spans="1:6" ht="31.5" hidden="1" x14ac:dyDescent="0.25">
      <c r="A62" s="48" t="s">
        <v>115</v>
      </c>
      <c r="B62" s="47" t="s">
        <v>28</v>
      </c>
      <c r="C62" s="49" t="s">
        <v>116</v>
      </c>
      <c r="D62" s="41"/>
      <c r="E62" s="41"/>
      <c r="F62" s="41">
        <f t="shared" si="0"/>
        <v>0</v>
      </c>
    </row>
    <row r="63" spans="1:6" ht="21" x14ac:dyDescent="0.25">
      <c r="A63" s="48" t="s">
        <v>117</v>
      </c>
      <c r="B63" s="47" t="s">
        <v>28</v>
      </c>
      <c r="C63" s="49" t="s">
        <v>118</v>
      </c>
      <c r="D63" s="41">
        <v>-955</v>
      </c>
      <c r="E63" s="41">
        <v>-955</v>
      </c>
      <c r="F63" s="41">
        <f t="shared" si="0"/>
        <v>0</v>
      </c>
    </row>
    <row r="64" spans="1:6" ht="17.649999999999999" customHeight="1" x14ac:dyDescent="0.3">
      <c r="A64" s="54" t="s">
        <v>119</v>
      </c>
      <c r="B64" s="50" t="s">
        <v>28</v>
      </c>
      <c r="C64" s="43" t="s">
        <v>120</v>
      </c>
      <c r="D64" s="39">
        <f>D66+D81+D85+D79+D83</f>
        <v>343471575.94</v>
      </c>
      <c r="E64" s="39">
        <f>E66+E81+E85+E79+E83</f>
        <v>292347621.72000003</v>
      </c>
      <c r="F64" s="39">
        <f t="shared" si="0"/>
        <v>51123954.219999969</v>
      </c>
    </row>
    <row r="65" spans="1:6" ht="13" x14ac:dyDescent="0.25">
      <c r="A65" s="51" t="s">
        <v>121</v>
      </c>
      <c r="B65" s="47" t="s">
        <v>28</v>
      </c>
      <c r="C65" s="49"/>
      <c r="D65" s="41"/>
      <c r="E65" s="41"/>
      <c r="F65" s="41"/>
    </row>
    <row r="66" spans="1:6" ht="39" x14ac:dyDescent="0.3">
      <c r="A66" s="44" t="s">
        <v>122</v>
      </c>
      <c r="B66" s="47"/>
      <c r="C66" s="43" t="s">
        <v>123</v>
      </c>
      <c r="D66" s="39">
        <f>SUM(D67:D78)</f>
        <v>334213650</v>
      </c>
      <c r="E66" s="39">
        <f>SUM(E67:E78)</f>
        <v>287365552.5</v>
      </c>
      <c r="F66" s="41">
        <f t="shared" ref="F66:F90" si="1">D66-E66</f>
        <v>46848097.5</v>
      </c>
    </row>
    <row r="67" spans="1:6" ht="31.5" x14ac:dyDescent="0.25">
      <c r="A67" s="52" t="s">
        <v>124</v>
      </c>
      <c r="B67" s="47" t="s">
        <v>28</v>
      </c>
      <c r="C67" s="49" t="s">
        <v>125</v>
      </c>
      <c r="D67" s="41">
        <v>2872510</v>
      </c>
      <c r="E67" s="41">
        <f>239370+239370+239370+239370+239370+239370+239370+239370+239370+239370</f>
        <v>2393700</v>
      </c>
      <c r="F67" s="41">
        <f>D67-E67</f>
        <v>478810</v>
      </c>
    </row>
    <row r="68" spans="1:6" ht="20.5" hidden="1" customHeight="1" x14ac:dyDescent="0.25">
      <c r="A68" s="52" t="s">
        <v>126</v>
      </c>
      <c r="B68" s="47" t="s">
        <v>28</v>
      </c>
      <c r="C68" s="49" t="s">
        <v>127</v>
      </c>
      <c r="D68" s="41"/>
      <c r="E68" s="41"/>
      <c r="F68" s="41">
        <f>D68-E68</f>
        <v>0</v>
      </c>
    </row>
    <row r="69" spans="1:6" ht="50" customHeight="1" x14ac:dyDescent="0.25">
      <c r="A69" s="52" t="s">
        <v>128</v>
      </c>
      <c r="B69" s="47" t="s">
        <v>28</v>
      </c>
      <c r="C69" s="49" t="s">
        <v>129</v>
      </c>
      <c r="D69" s="41">
        <v>64517330</v>
      </c>
      <c r="E69" s="41">
        <f>20476221.15+25034887.4+8491509.67+10514711.78</f>
        <v>64517330</v>
      </c>
      <c r="F69" s="41">
        <f>D69-E69</f>
        <v>0</v>
      </c>
    </row>
    <row r="70" spans="1:6" ht="58" customHeight="1" x14ac:dyDescent="0.25">
      <c r="A70" s="52" t="s">
        <v>130</v>
      </c>
      <c r="B70" s="47" t="s">
        <v>28</v>
      </c>
      <c r="C70" s="49" t="s">
        <v>131</v>
      </c>
      <c r="D70" s="41">
        <v>151515160</v>
      </c>
      <c r="E70" s="41">
        <v>151515160</v>
      </c>
      <c r="F70" s="41">
        <f>D70-E70</f>
        <v>0</v>
      </c>
    </row>
    <row r="71" spans="1:6" ht="31.5" x14ac:dyDescent="0.25">
      <c r="A71" s="52" t="s">
        <v>132</v>
      </c>
      <c r="B71" s="47" t="s">
        <v>28</v>
      </c>
      <c r="C71" s="49" t="s">
        <v>133</v>
      </c>
      <c r="D71" s="41">
        <f>8875250</f>
        <v>8875250</v>
      </c>
      <c r="E71" s="41">
        <f>3830371.05+2242168.42+1307931.58+1494778.95</f>
        <v>8875250</v>
      </c>
      <c r="F71" s="41">
        <f>D71-E71</f>
        <v>0</v>
      </c>
    </row>
    <row r="72" spans="1:6" ht="52.5" x14ac:dyDescent="0.25">
      <c r="A72" s="52" t="s">
        <v>134</v>
      </c>
      <c r="B72" s="47" t="s">
        <v>28</v>
      </c>
      <c r="C72" s="49" t="s">
        <v>135</v>
      </c>
      <c r="D72" s="41">
        <v>7118320</v>
      </c>
      <c r="E72" s="41">
        <v>7118320</v>
      </c>
      <c r="F72" s="41">
        <f t="shared" si="1"/>
        <v>0</v>
      </c>
    </row>
    <row r="73" spans="1:6" ht="31.5" x14ac:dyDescent="0.25">
      <c r="A73" s="52" t="s">
        <v>136</v>
      </c>
      <c r="B73" s="47" t="s">
        <v>28</v>
      </c>
      <c r="C73" s="49" t="s">
        <v>137</v>
      </c>
      <c r="D73" s="41">
        <v>36556250</v>
      </c>
      <c r="E73" s="41">
        <f>425734.17+12734516.1</f>
        <v>13160250.27</v>
      </c>
      <c r="F73" s="41">
        <f>D73-E73</f>
        <v>23395999.73</v>
      </c>
    </row>
    <row r="74" spans="1:6" x14ac:dyDescent="0.25">
      <c r="A74" s="52" t="s">
        <v>138</v>
      </c>
      <c r="B74" s="47" t="s">
        <v>28</v>
      </c>
      <c r="C74" s="49" t="s">
        <v>139</v>
      </c>
      <c r="D74" s="41">
        <f>17762770+445000+66000+1203880+11634630+1024200-62100-951060</f>
        <v>31123320</v>
      </c>
      <c r="E74" s="41">
        <f>1558000+362707.54+111722.34+1299841.49+3594364.5+5753306.36</f>
        <v>12679942.23</v>
      </c>
      <c r="F74" s="41">
        <f t="shared" si="1"/>
        <v>18443377.77</v>
      </c>
    </row>
    <row r="75" spans="1:6" ht="34.5" customHeight="1" x14ac:dyDescent="0.25">
      <c r="A75" s="52" t="s">
        <v>140</v>
      </c>
      <c r="B75" s="47" t="s">
        <v>28</v>
      </c>
      <c r="C75" s="49" t="s">
        <v>141</v>
      </c>
      <c r="D75" s="41">
        <v>2200</v>
      </c>
      <c r="E75" s="41">
        <v>2200</v>
      </c>
      <c r="F75" s="41">
        <f t="shared" si="1"/>
        <v>0</v>
      </c>
    </row>
    <row r="76" spans="1:6" ht="38.65" hidden="1" customHeight="1" x14ac:dyDescent="0.25">
      <c r="A76" s="52" t="s">
        <v>142</v>
      </c>
      <c r="B76" s="47" t="s">
        <v>28</v>
      </c>
      <c r="C76" s="49" t="s">
        <v>143</v>
      </c>
      <c r="D76" s="41"/>
      <c r="E76" s="41"/>
      <c r="F76" s="41">
        <f>D76-E76</f>
        <v>0</v>
      </c>
    </row>
    <row r="77" spans="1:6" ht="64.150000000000006" hidden="1" customHeight="1" x14ac:dyDescent="0.25">
      <c r="A77" s="52" t="s">
        <v>144</v>
      </c>
      <c r="B77" s="47" t="s">
        <v>28</v>
      </c>
      <c r="C77" s="49" t="s">
        <v>145</v>
      </c>
      <c r="D77" s="41"/>
      <c r="E77" s="41"/>
      <c r="F77" s="41">
        <f>D77-E77</f>
        <v>0</v>
      </c>
    </row>
    <row r="78" spans="1:6" ht="21" x14ac:dyDescent="0.25">
      <c r="A78" s="52" t="s">
        <v>146</v>
      </c>
      <c r="B78" s="47" t="s">
        <v>28</v>
      </c>
      <c r="C78" s="49" t="s">
        <v>147</v>
      </c>
      <c r="D78" s="41">
        <f>27179310+3191000+1000000-3191000+250000+3000000+204000</f>
        <v>31633310</v>
      </c>
      <c r="E78" s="41">
        <f>4529880+2264940+2264940+1000000+2264940+2264940+2514940+2264940+2468940+5264940</f>
        <v>27103400</v>
      </c>
      <c r="F78" s="41">
        <f t="shared" si="1"/>
        <v>4529910</v>
      </c>
    </row>
    <row r="79" spans="1:6" ht="26" x14ac:dyDescent="0.3">
      <c r="A79" s="46" t="s">
        <v>45</v>
      </c>
      <c r="B79" s="42" t="s">
        <v>28</v>
      </c>
      <c r="C79" s="43" t="s">
        <v>148</v>
      </c>
      <c r="D79" s="39">
        <f>D80</f>
        <v>8168152</v>
      </c>
      <c r="E79" s="39">
        <f>E80</f>
        <v>8168152</v>
      </c>
      <c r="F79" s="39">
        <f t="shared" si="1"/>
        <v>0</v>
      </c>
    </row>
    <row r="80" spans="1:6" ht="46.5" customHeight="1" x14ac:dyDescent="0.25">
      <c r="A80" s="48" t="s">
        <v>149</v>
      </c>
      <c r="B80" s="47" t="s">
        <v>28</v>
      </c>
      <c r="C80" s="49" t="s">
        <v>150</v>
      </c>
      <c r="D80" s="41">
        <f>8168152</f>
        <v>8168152</v>
      </c>
      <c r="E80" s="41">
        <f>7827000+341152</f>
        <v>8168152</v>
      </c>
      <c r="F80" s="41">
        <f t="shared" si="1"/>
        <v>0</v>
      </c>
    </row>
    <row r="81" spans="1:6" ht="19.5" customHeight="1" x14ac:dyDescent="0.3">
      <c r="A81" s="46" t="s">
        <v>151</v>
      </c>
      <c r="B81" s="47" t="s">
        <v>28</v>
      </c>
      <c r="C81" s="43" t="s">
        <v>152</v>
      </c>
      <c r="D81" s="39">
        <f>SUM(D82:D82)</f>
        <v>228050</v>
      </c>
      <c r="E81" s="39">
        <f>SUM(E82:E82)</f>
        <v>228050</v>
      </c>
      <c r="F81" s="41">
        <f t="shared" si="1"/>
        <v>0</v>
      </c>
    </row>
    <row r="82" spans="1:6" ht="31.5" x14ac:dyDescent="0.25">
      <c r="A82" s="52" t="s">
        <v>153</v>
      </c>
      <c r="B82" s="47" t="s">
        <v>28</v>
      </c>
      <c r="C82" s="49" t="s">
        <v>154</v>
      </c>
      <c r="D82" s="41">
        <f>33950+194100</f>
        <v>228050</v>
      </c>
      <c r="E82" s="41">
        <f>9000+14950+10000+500+193600</f>
        <v>228050</v>
      </c>
      <c r="F82" s="41">
        <f t="shared" si="1"/>
        <v>0</v>
      </c>
    </row>
    <row r="83" spans="1:6" ht="78" x14ac:dyDescent="0.3">
      <c r="A83" s="53" t="s">
        <v>155</v>
      </c>
      <c r="B83" s="47" t="s">
        <v>28</v>
      </c>
      <c r="C83" s="43" t="s">
        <v>156</v>
      </c>
      <c r="D83" s="39">
        <f>D84</f>
        <v>873246.5</v>
      </c>
      <c r="E83" s="39">
        <f>E84</f>
        <v>873246.5</v>
      </c>
      <c r="F83" s="41">
        <f>D83-E83</f>
        <v>0</v>
      </c>
    </row>
    <row r="84" spans="1:6" ht="31.5" x14ac:dyDescent="0.25">
      <c r="A84" s="52" t="s">
        <v>157</v>
      </c>
      <c r="B84" s="47" t="s">
        <v>28</v>
      </c>
      <c r="C84" s="49" t="s">
        <v>158</v>
      </c>
      <c r="D84" s="41">
        <v>873246.5</v>
      </c>
      <c r="E84" s="41">
        <v>873246.5</v>
      </c>
      <c r="F84" s="41">
        <f>D84-E84</f>
        <v>0</v>
      </c>
    </row>
    <row r="85" spans="1:6" ht="56.65" customHeight="1" x14ac:dyDescent="0.3">
      <c r="A85" s="46" t="s">
        <v>159</v>
      </c>
      <c r="B85" s="47" t="s">
        <v>28</v>
      </c>
      <c r="C85" s="43" t="s">
        <v>160</v>
      </c>
      <c r="D85" s="39">
        <f>D86</f>
        <v>-11522.56</v>
      </c>
      <c r="E85" s="39">
        <f>E86</f>
        <v>-4287379.2799999993</v>
      </c>
      <c r="F85" s="41">
        <f t="shared" si="1"/>
        <v>4275856.72</v>
      </c>
    </row>
    <row r="86" spans="1:6" ht="46.9" customHeight="1" x14ac:dyDescent="0.25">
      <c r="A86" s="48" t="s">
        <v>161</v>
      </c>
      <c r="B86" s="47" t="s">
        <v>28</v>
      </c>
      <c r="C86" s="49" t="s">
        <v>162</v>
      </c>
      <c r="D86" s="41">
        <v>-11522.56</v>
      </c>
      <c r="E86" s="41">
        <f>-11522.56-4275856.72</f>
        <v>-4287379.2799999993</v>
      </c>
      <c r="F86" s="41">
        <f t="shared" si="1"/>
        <v>4275856.72</v>
      </c>
    </row>
    <row r="87" spans="1:6" ht="13" x14ac:dyDescent="0.3">
      <c r="A87" s="46"/>
      <c r="B87" s="47" t="s">
        <v>28</v>
      </c>
      <c r="C87" s="43" t="s">
        <v>163</v>
      </c>
      <c r="D87" s="39">
        <f>D88</f>
        <v>272761408</v>
      </c>
      <c r="E87" s="39">
        <f>E88</f>
        <v>220961432.67000002</v>
      </c>
      <c r="F87" s="39">
        <f t="shared" si="1"/>
        <v>51799975.329999983</v>
      </c>
    </row>
    <row r="88" spans="1:6" ht="26" x14ac:dyDescent="0.3">
      <c r="A88" s="44" t="s">
        <v>35</v>
      </c>
      <c r="B88" s="47" t="s">
        <v>28</v>
      </c>
      <c r="C88" s="43" t="s">
        <v>164</v>
      </c>
      <c r="D88" s="39">
        <f>D89+D196</f>
        <v>272761408</v>
      </c>
      <c r="E88" s="39">
        <f>E89+E196</f>
        <v>220961432.67000002</v>
      </c>
      <c r="F88" s="39">
        <f t="shared" si="1"/>
        <v>51799975.329999983</v>
      </c>
    </row>
    <row r="89" spans="1:6" ht="14" x14ac:dyDescent="0.3">
      <c r="A89" s="56" t="s">
        <v>165</v>
      </c>
      <c r="B89" s="47" t="s">
        <v>28</v>
      </c>
      <c r="C89" s="43" t="s">
        <v>166</v>
      </c>
      <c r="D89" s="39">
        <f>D90+D129+D168+D191+D123</f>
        <v>272761408</v>
      </c>
      <c r="E89" s="39">
        <f>E90+E129+E168+E191+E123</f>
        <v>220961432.67000002</v>
      </c>
      <c r="F89" s="39">
        <f t="shared" si="1"/>
        <v>51799975.329999983</v>
      </c>
    </row>
    <row r="90" spans="1:6" ht="13" x14ac:dyDescent="0.3">
      <c r="A90" s="57" t="s">
        <v>167</v>
      </c>
      <c r="B90" s="47" t="s">
        <v>28</v>
      </c>
      <c r="C90" s="43" t="s">
        <v>168</v>
      </c>
      <c r="D90" s="39">
        <f>+D92+D95+D102+D105+D109+D107+D111+D115+D119+D121+D113+D98+D100+D117</f>
        <v>170640000</v>
      </c>
      <c r="E90" s="39">
        <f>+E92+E95+E102+E105+E109+E107+E111+E115+E119+E121+E113+E98+E100+E117</f>
        <v>137667745.79000002</v>
      </c>
      <c r="F90" s="39">
        <f t="shared" si="1"/>
        <v>32972254.209999979</v>
      </c>
    </row>
    <row r="91" spans="1:6" ht="13" x14ac:dyDescent="0.25">
      <c r="A91" s="51" t="s">
        <v>30</v>
      </c>
      <c r="B91" s="36"/>
      <c r="C91" s="49"/>
      <c r="D91" s="41"/>
      <c r="E91" s="41"/>
      <c r="F91" s="41"/>
    </row>
    <row r="92" spans="1:6" s="55" customFormat="1" ht="152" customHeight="1" x14ac:dyDescent="0.3">
      <c r="A92" s="58" t="s">
        <v>169</v>
      </c>
      <c r="B92" s="50" t="s">
        <v>28</v>
      </c>
      <c r="C92" s="43" t="s">
        <v>170</v>
      </c>
      <c r="D92" s="39">
        <f>SUM(D93:D94)</f>
        <v>103100000</v>
      </c>
      <c r="E92" s="39">
        <f>SUM(E93:E94)</f>
        <v>80853195.079999998</v>
      </c>
      <c r="F92" s="39">
        <f t="shared" ref="F92:F170" si="2">D92-E92</f>
        <v>22246804.920000002</v>
      </c>
    </row>
    <row r="93" spans="1:6" ht="172.5" customHeight="1" x14ac:dyDescent="0.25">
      <c r="A93" s="59" t="s">
        <v>171</v>
      </c>
      <c r="B93" s="47" t="s">
        <v>28</v>
      </c>
      <c r="C93" s="49" t="s">
        <v>172</v>
      </c>
      <c r="D93" s="41">
        <f>90000000+10100000+3000000</f>
        <v>103100000</v>
      </c>
      <c r="E93" s="41">
        <f>4885028.29+9056758.65+8815502.75+7799382.18+7006607.73+8544491.93+9199856.26+8750898.06+7858507.45+8925051.84</f>
        <v>80842085.140000001</v>
      </c>
      <c r="F93" s="41">
        <f t="shared" si="2"/>
        <v>22257914.859999999</v>
      </c>
    </row>
    <row r="94" spans="1:6" ht="174" customHeight="1" x14ac:dyDescent="0.25">
      <c r="A94" s="59" t="s">
        <v>173</v>
      </c>
      <c r="B94" s="47" t="s">
        <v>28</v>
      </c>
      <c r="C94" s="49" t="s">
        <v>174</v>
      </c>
      <c r="D94" s="41"/>
      <c r="E94" s="41">
        <f>154+2221.99+1913.98+2740.56+3617.41+154+154+154</f>
        <v>11109.939999999999</v>
      </c>
      <c r="F94" s="41">
        <f t="shared" si="2"/>
        <v>-11109.939999999999</v>
      </c>
    </row>
    <row r="95" spans="1:6" s="55" customFormat="1" ht="111.5" customHeight="1" x14ac:dyDescent="0.3">
      <c r="A95" s="58" t="s">
        <v>175</v>
      </c>
      <c r="B95" s="50" t="s">
        <v>28</v>
      </c>
      <c r="C95" s="43" t="s">
        <v>176</v>
      </c>
      <c r="D95" s="39">
        <f>SUM(D96:D97)</f>
        <v>355000</v>
      </c>
      <c r="E95" s="39">
        <f>SUM(E96:E97)</f>
        <v>317677.18999999994</v>
      </c>
      <c r="F95" s="39">
        <f t="shared" si="2"/>
        <v>37322.810000000056</v>
      </c>
    </row>
    <row r="96" spans="1:6" ht="128.5" customHeight="1" x14ac:dyDescent="0.25">
      <c r="A96" s="59" t="s">
        <v>177</v>
      </c>
      <c r="B96" s="47" t="s">
        <v>28</v>
      </c>
      <c r="C96" s="49" t="s">
        <v>178</v>
      </c>
      <c r="D96" s="41">
        <f>295000+60000</f>
        <v>355000</v>
      </c>
      <c r="E96" s="41">
        <f>-65000+51959.6+677.87+46835.73+26873.6+240907.63+200+627.47+14466.29</f>
        <v>317548.18999999994</v>
      </c>
      <c r="F96" s="41">
        <f t="shared" si="2"/>
        <v>37451.810000000056</v>
      </c>
    </row>
    <row r="97" spans="1:6" ht="128" customHeight="1" x14ac:dyDescent="0.25">
      <c r="A97" s="59" t="s">
        <v>179</v>
      </c>
      <c r="B97" s="47" t="s">
        <v>28</v>
      </c>
      <c r="C97" s="49" t="s">
        <v>180</v>
      </c>
      <c r="D97" s="41"/>
      <c r="E97" s="41">
        <f>129</f>
        <v>129</v>
      </c>
      <c r="F97" s="41">
        <f t="shared" si="2"/>
        <v>-129</v>
      </c>
    </row>
    <row r="98" spans="1:6" ht="100" customHeight="1" x14ac:dyDescent="0.3">
      <c r="A98" s="58" t="s">
        <v>181</v>
      </c>
      <c r="B98" s="50" t="s">
        <v>28</v>
      </c>
      <c r="C98" s="43" t="s">
        <v>182</v>
      </c>
      <c r="D98" s="39">
        <f>SUM(D99:D99)</f>
        <v>0</v>
      </c>
      <c r="E98" s="39">
        <f>SUM(E99:E99)</f>
        <v>12357.81</v>
      </c>
      <c r="F98" s="39">
        <f>D98-E98</f>
        <v>-12357.81</v>
      </c>
    </row>
    <row r="99" spans="1:6" ht="127.5" customHeight="1" x14ac:dyDescent="0.25">
      <c r="A99" s="59" t="s">
        <v>183</v>
      </c>
      <c r="B99" s="47" t="s">
        <v>28</v>
      </c>
      <c r="C99" s="49" t="s">
        <v>184</v>
      </c>
      <c r="D99" s="41"/>
      <c r="E99" s="41">
        <f>783.18+11574.63</f>
        <v>12357.81</v>
      </c>
      <c r="F99" s="41">
        <f>D99-E99</f>
        <v>-12357.81</v>
      </c>
    </row>
    <row r="100" spans="1:6" ht="99.5" customHeight="1" x14ac:dyDescent="0.3">
      <c r="A100" s="58" t="s">
        <v>185</v>
      </c>
      <c r="B100" s="50" t="s">
        <v>28</v>
      </c>
      <c r="C100" s="43" t="s">
        <v>186</v>
      </c>
      <c r="D100" s="39">
        <f>SUM(D101:D101)</f>
        <v>0</v>
      </c>
      <c r="E100" s="39">
        <f>SUM(E101:E101)</f>
        <v>83321.919999999998</v>
      </c>
      <c r="F100" s="39">
        <f>D100-E100</f>
        <v>-83321.919999999998</v>
      </c>
    </row>
    <row r="101" spans="1:6" ht="127.5" customHeight="1" x14ac:dyDescent="0.25">
      <c r="A101" s="59" t="s">
        <v>187</v>
      </c>
      <c r="B101" s="47" t="s">
        <v>28</v>
      </c>
      <c r="C101" s="49" t="s">
        <v>188</v>
      </c>
      <c r="D101" s="41"/>
      <c r="E101" s="41">
        <f>83321.92</f>
        <v>83321.919999999998</v>
      </c>
      <c r="F101" s="41">
        <f>D101-E101</f>
        <v>-83321.919999999998</v>
      </c>
    </row>
    <row r="102" spans="1:6" s="55" customFormat="1" ht="100" customHeight="1" x14ac:dyDescent="0.3">
      <c r="A102" s="58" t="s">
        <v>189</v>
      </c>
      <c r="B102" s="50" t="s">
        <v>28</v>
      </c>
      <c r="C102" s="43" t="s">
        <v>190</v>
      </c>
      <c r="D102" s="39">
        <f>SUM(D103:D104)</f>
        <v>2450000</v>
      </c>
      <c r="E102" s="39">
        <f>SUM(E103:E104)</f>
        <v>2315860.61</v>
      </c>
      <c r="F102" s="39">
        <f t="shared" si="2"/>
        <v>134139.39000000013</v>
      </c>
    </row>
    <row r="103" spans="1:6" ht="118.5" customHeight="1" x14ac:dyDescent="0.25">
      <c r="A103" s="59" t="s">
        <v>191</v>
      </c>
      <c r="B103" s="47" t="s">
        <v>28</v>
      </c>
      <c r="C103" s="49" t="s">
        <v>192</v>
      </c>
      <c r="D103" s="41">
        <f>1150000+1300000</f>
        <v>2450000</v>
      </c>
      <c r="E103" s="41">
        <f>176967.75+56266.43+30383.89+6542.4+6482.63+23384.05+1851726.68+68530.88+22686.66+63358.17</f>
        <v>2306329.54</v>
      </c>
      <c r="F103" s="41">
        <f t="shared" si="2"/>
        <v>143670.45999999996</v>
      </c>
    </row>
    <row r="104" spans="1:6" ht="119" customHeight="1" x14ac:dyDescent="0.25">
      <c r="A104" s="59" t="s">
        <v>193</v>
      </c>
      <c r="B104" s="47" t="s">
        <v>28</v>
      </c>
      <c r="C104" s="49" t="s">
        <v>194</v>
      </c>
      <c r="D104" s="41"/>
      <c r="E104" s="41">
        <f>3186.01+773.78+1827.1+378.83+668.62+753.96+210.26+227.5+833.31+671.7</f>
        <v>9531.07</v>
      </c>
      <c r="F104" s="41">
        <f t="shared" si="2"/>
        <v>-9531.07</v>
      </c>
    </row>
    <row r="105" spans="1:6" ht="313.5" customHeight="1" x14ac:dyDescent="0.3">
      <c r="A105" s="58" t="s">
        <v>195</v>
      </c>
      <c r="B105" s="50" t="s">
        <v>28</v>
      </c>
      <c r="C105" s="43" t="s">
        <v>196</v>
      </c>
      <c r="D105" s="39">
        <f>SUM(D106:D106)</f>
        <v>3000000</v>
      </c>
      <c r="E105" s="39">
        <f>SUM(E106:E106)</f>
        <v>2465389.27</v>
      </c>
      <c r="F105" s="39">
        <f t="shared" si="2"/>
        <v>534610.73</v>
      </c>
    </row>
    <row r="106" spans="1:6" ht="330" customHeight="1" x14ac:dyDescent="0.25">
      <c r="A106" s="59" t="s">
        <v>197</v>
      </c>
      <c r="B106" s="47" t="s">
        <v>28</v>
      </c>
      <c r="C106" s="49" t="s">
        <v>198</v>
      </c>
      <c r="D106" s="41">
        <f>10000000-5000000-2000000</f>
        <v>3000000</v>
      </c>
      <c r="E106" s="41">
        <f>49146.93+110688.12+952497.63+119789.1+154152.45+146385.81+567870.86+146284.13+108365.54+110208.7</f>
        <v>2465389.27</v>
      </c>
      <c r="F106" s="41">
        <f t="shared" si="2"/>
        <v>534610.73</v>
      </c>
    </row>
    <row r="107" spans="1:6" ht="74" customHeight="1" x14ac:dyDescent="0.3">
      <c r="A107" s="58" t="s">
        <v>199</v>
      </c>
      <c r="B107" s="60" t="s">
        <v>28</v>
      </c>
      <c r="C107" s="43" t="s">
        <v>200</v>
      </c>
      <c r="D107" s="39">
        <f>D108</f>
        <v>440000</v>
      </c>
      <c r="E107" s="39">
        <f>E108</f>
        <v>280239.40000000002</v>
      </c>
      <c r="F107" s="39">
        <f t="shared" si="2"/>
        <v>159760.59999999998</v>
      </c>
    </row>
    <row r="108" spans="1:6" ht="89.5" customHeight="1" x14ac:dyDescent="0.25">
      <c r="A108" s="59" t="s">
        <v>201</v>
      </c>
      <c r="B108" s="47" t="s">
        <v>28</v>
      </c>
      <c r="C108" s="49" t="s">
        <v>202</v>
      </c>
      <c r="D108" s="41">
        <f>300000+140000</f>
        <v>440000</v>
      </c>
      <c r="E108" s="41">
        <f>14232.9+149470.4+22478.1-22222.2+34901.3+1878.7+69334.1+6916+3250.1</f>
        <v>280239.40000000002</v>
      </c>
      <c r="F108" s="41">
        <f t="shared" si="2"/>
        <v>159760.59999999998</v>
      </c>
    </row>
    <row r="109" spans="1:6" ht="72.5" customHeight="1" x14ac:dyDescent="0.3">
      <c r="A109" s="58" t="s">
        <v>203</v>
      </c>
      <c r="B109" s="50" t="s">
        <v>28</v>
      </c>
      <c r="C109" s="43" t="s">
        <v>204</v>
      </c>
      <c r="D109" s="39">
        <f>D110</f>
        <v>1255000</v>
      </c>
      <c r="E109" s="39">
        <f>E110</f>
        <v>946934.46</v>
      </c>
      <c r="F109" s="39">
        <f t="shared" si="2"/>
        <v>308065.54000000004</v>
      </c>
    </row>
    <row r="110" spans="1:6" ht="88" customHeight="1" x14ac:dyDescent="0.25">
      <c r="A110" s="59" t="s">
        <v>205</v>
      </c>
      <c r="B110" s="47" t="s">
        <v>28</v>
      </c>
      <c r="C110" s="49" t="s">
        <v>206</v>
      </c>
      <c r="D110" s="41">
        <v>1255000</v>
      </c>
      <c r="E110" s="41">
        <f>80305.56+82457.28-59503.23+125295.83+27794.17+87229.8+332683.47+14568.66+256102.92</f>
        <v>946934.46</v>
      </c>
      <c r="F110" s="41">
        <f t="shared" si="2"/>
        <v>308065.54000000004</v>
      </c>
    </row>
    <row r="111" spans="1:6" ht="205.5" customHeight="1" x14ac:dyDescent="0.3">
      <c r="A111" s="58" t="s">
        <v>207</v>
      </c>
      <c r="B111" s="50" t="s">
        <v>28</v>
      </c>
      <c r="C111" s="43" t="s">
        <v>208</v>
      </c>
      <c r="D111" s="39">
        <f>D112</f>
        <v>3000000</v>
      </c>
      <c r="E111" s="39">
        <f>E112</f>
        <v>2879024.7</v>
      </c>
      <c r="F111" s="39">
        <f t="shared" si="2"/>
        <v>120975.29999999981</v>
      </c>
    </row>
    <row r="112" spans="1:6" ht="224.5" customHeight="1" x14ac:dyDescent="0.25">
      <c r="A112" s="59" t="s">
        <v>209</v>
      </c>
      <c r="B112" s="47" t="s">
        <v>28</v>
      </c>
      <c r="C112" s="49" t="s">
        <v>210</v>
      </c>
      <c r="D112" s="41">
        <f>4000000-1000000</f>
        <v>3000000</v>
      </c>
      <c r="E112" s="41">
        <f>4800+204175.52+1101889.15+161829.99+312579.36+259789.81+170108.56+194793.28+200458.49+268600.54</f>
        <v>2879024.7</v>
      </c>
      <c r="F112" s="41">
        <f t="shared" si="2"/>
        <v>120975.29999999981</v>
      </c>
    </row>
    <row r="113" spans="1:6" ht="207.5" customHeight="1" x14ac:dyDescent="0.3">
      <c r="A113" s="58" t="s">
        <v>211</v>
      </c>
      <c r="B113" s="50" t="s">
        <v>28</v>
      </c>
      <c r="C113" s="43" t="s">
        <v>212</v>
      </c>
      <c r="D113" s="39">
        <f>D114</f>
        <v>600000</v>
      </c>
      <c r="E113" s="39">
        <f>E114</f>
        <v>529467.32999999996</v>
      </c>
      <c r="F113" s="39">
        <f>D113-E113</f>
        <v>70532.670000000042</v>
      </c>
    </row>
    <row r="114" spans="1:6" ht="225" customHeight="1" x14ac:dyDescent="0.25">
      <c r="A114" s="59" t="s">
        <v>213</v>
      </c>
      <c r="B114" s="47" t="s">
        <v>28</v>
      </c>
      <c r="C114" s="49" t="s">
        <v>214</v>
      </c>
      <c r="D114" s="41">
        <f>600000</f>
        <v>600000</v>
      </c>
      <c r="E114" s="41">
        <f>145614.14+65490.33+71658.3+123669.27+62769.07+23488.29+6854.47+29923.46</f>
        <v>529467.32999999996</v>
      </c>
      <c r="F114" s="41">
        <f>D114-E114</f>
        <v>70532.670000000042</v>
      </c>
    </row>
    <row r="115" spans="1:6" ht="197.5" customHeight="1" x14ac:dyDescent="0.3">
      <c r="A115" s="58" t="s">
        <v>215</v>
      </c>
      <c r="B115" s="50" t="s">
        <v>28</v>
      </c>
      <c r="C115" s="43" t="s">
        <v>216</v>
      </c>
      <c r="D115" s="39">
        <f>D116</f>
        <v>0</v>
      </c>
      <c r="E115" s="39">
        <f>E116</f>
        <v>111</v>
      </c>
      <c r="F115" s="39">
        <f t="shared" si="2"/>
        <v>-111</v>
      </c>
    </row>
    <row r="116" spans="1:6" ht="214.5" customHeight="1" x14ac:dyDescent="0.25">
      <c r="A116" s="59" t="s">
        <v>217</v>
      </c>
      <c r="B116" s="47" t="s">
        <v>28</v>
      </c>
      <c r="C116" s="49" t="s">
        <v>218</v>
      </c>
      <c r="D116" s="41">
        <f>500000-500000</f>
        <v>0</v>
      </c>
      <c r="E116" s="41">
        <f>39.66+116.52-45.18</f>
        <v>111</v>
      </c>
      <c r="F116" s="41">
        <f t="shared" si="2"/>
        <v>-111</v>
      </c>
    </row>
    <row r="117" spans="1:6" ht="47.5" customHeight="1" x14ac:dyDescent="0.3">
      <c r="A117" s="58" t="s">
        <v>219</v>
      </c>
      <c r="B117" s="50" t="s">
        <v>28</v>
      </c>
      <c r="C117" s="43" t="s">
        <v>220</v>
      </c>
      <c r="D117" s="39">
        <f>D118</f>
        <v>0</v>
      </c>
      <c r="E117" s="39">
        <f>E118</f>
        <v>53.3</v>
      </c>
      <c r="F117" s="39">
        <f t="shared" si="2"/>
        <v>-53.3</v>
      </c>
    </row>
    <row r="118" spans="1:6" ht="71" customHeight="1" x14ac:dyDescent="0.25">
      <c r="A118" s="59" t="s">
        <v>221</v>
      </c>
      <c r="B118" s="47" t="s">
        <v>28</v>
      </c>
      <c r="C118" s="49" t="s">
        <v>222</v>
      </c>
      <c r="D118" s="41"/>
      <c r="E118" s="41">
        <v>53.3</v>
      </c>
      <c r="F118" s="41">
        <f t="shared" si="2"/>
        <v>-53.3</v>
      </c>
    </row>
    <row r="119" spans="1:6" ht="37.5" customHeight="1" x14ac:dyDescent="0.3">
      <c r="A119" s="58" t="s">
        <v>223</v>
      </c>
      <c r="B119" s="50" t="s">
        <v>28</v>
      </c>
      <c r="C119" s="43" t="s">
        <v>224</v>
      </c>
      <c r="D119" s="39">
        <f>D120</f>
        <v>56415000</v>
      </c>
      <c r="E119" s="39">
        <f>E120</f>
        <v>46938481.199999996</v>
      </c>
      <c r="F119" s="39">
        <f t="shared" si="2"/>
        <v>9476518.8000000045</v>
      </c>
    </row>
    <row r="120" spans="1:6" ht="63.5" customHeight="1" x14ac:dyDescent="0.25">
      <c r="A120" s="59" t="s">
        <v>225</v>
      </c>
      <c r="B120" s="47" t="s">
        <v>28</v>
      </c>
      <c r="C120" s="49" t="s">
        <v>226</v>
      </c>
      <c r="D120" s="41">
        <f>54000000-9000000+7000000+4415000</f>
        <v>56415000</v>
      </c>
      <c r="E120" s="41">
        <f>1880368.61+4470241.04+4852992.65+6570423.61+5155966.6+5518818.28+4570542.43+4492057.41+4399834.19+5027236.38</f>
        <v>46938481.199999996</v>
      </c>
      <c r="F120" s="41">
        <f t="shared" si="2"/>
        <v>9476518.8000000045</v>
      </c>
    </row>
    <row r="121" spans="1:6" ht="46" customHeight="1" x14ac:dyDescent="0.3">
      <c r="A121" s="58" t="s">
        <v>227</v>
      </c>
      <c r="B121" s="50" t="s">
        <v>28</v>
      </c>
      <c r="C121" s="43" t="s">
        <v>228</v>
      </c>
      <c r="D121" s="39">
        <f>D122</f>
        <v>25000</v>
      </c>
      <c r="E121" s="39">
        <f>E122</f>
        <v>45632.520000000004</v>
      </c>
      <c r="F121" s="39">
        <f t="shared" si="2"/>
        <v>-20632.520000000004</v>
      </c>
    </row>
    <row r="122" spans="1:6" ht="76" customHeight="1" x14ac:dyDescent="0.25">
      <c r="A122" s="59" t="s">
        <v>229</v>
      </c>
      <c r="B122" s="47" t="s">
        <v>28</v>
      </c>
      <c r="C122" s="49" t="s">
        <v>230</v>
      </c>
      <c r="D122" s="41">
        <f>1500000-1200000-275000</f>
        <v>25000</v>
      </c>
      <c r="E122" s="41">
        <f>139.41+2336.13-1839.33-636.21+1825.47+955.44-2780.91+9962.28+11970.09+23700.15</f>
        <v>45632.520000000004</v>
      </c>
      <c r="F122" s="41">
        <f t="shared" si="2"/>
        <v>-20632.520000000004</v>
      </c>
    </row>
    <row r="123" spans="1:6" ht="32.5" customHeight="1" x14ac:dyDescent="0.3">
      <c r="A123" s="61" t="s">
        <v>231</v>
      </c>
      <c r="B123" s="50" t="s">
        <v>28</v>
      </c>
      <c r="C123" s="43" t="s">
        <v>232</v>
      </c>
      <c r="D123" s="39">
        <f>D124</f>
        <v>4270120</v>
      </c>
      <c r="E123" s="39">
        <f>E124</f>
        <v>3504055.3499999996</v>
      </c>
      <c r="F123" s="41">
        <f t="shared" si="2"/>
        <v>766064.65000000037</v>
      </c>
    </row>
    <row r="124" spans="1:6" ht="33" customHeight="1" x14ac:dyDescent="0.3">
      <c r="A124" s="61" t="s">
        <v>233</v>
      </c>
      <c r="B124" s="50" t="s">
        <v>28</v>
      </c>
      <c r="C124" s="43" t="s">
        <v>234</v>
      </c>
      <c r="D124" s="39">
        <f>SUM(D125:D128)</f>
        <v>4270120</v>
      </c>
      <c r="E124" s="39">
        <f>SUM(E125:E128)</f>
        <v>3504055.3499999996</v>
      </c>
      <c r="F124" s="41">
        <f t="shared" si="2"/>
        <v>766064.65000000037</v>
      </c>
    </row>
    <row r="125" spans="1:6" ht="80" customHeight="1" x14ac:dyDescent="0.25">
      <c r="A125" s="59" t="s">
        <v>235</v>
      </c>
      <c r="B125" s="47" t="s">
        <v>28</v>
      </c>
      <c r="C125" s="49" t="s">
        <v>236</v>
      </c>
      <c r="D125" s="41">
        <v>2233280</v>
      </c>
      <c r="E125" s="41">
        <f>173857.11+40518.52+289577.29+179283.52+175765.26+12348.57+357607.41+187462.08+180252.81+181091.62</f>
        <v>1777764.19</v>
      </c>
      <c r="F125" s="41">
        <f t="shared" si="2"/>
        <v>455515.81000000006</v>
      </c>
    </row>
    <row r="126" spans="1:6" ht="88.5" customHeight="1" x14ac:dyDescent="0.25">
      <c r="A126" s="59" t="s">
        <v>237</v>
      </c>
      <c r="B126" s="47" t="s">
        <v>28</v>
      </c>
      <c r="C126" s="49" t="s">
        <v>238</v>
      </c>
      <c r="D126" s="41">
        <v>10090</v>
      </c>
      <c r="E126" s="62">
        <f>880.88+432.57+1550.05+1084.49+1172.97+244.52+1931.9+979.69+1047.24+1007.5</f>
        <v>10331.810000000001</v>
      </c>
      <c r="F126" s="41">
        <f t="shared" si="2"/>
        <v>-241.81000000000131</v>
      </c>
    </row>
    <row r="127" spans="1:6" ht="80.5" customHeight="1" x14ac:dyDescent="0.25">
      <c r="A127" s="59" t="s">
        <v>239</v>
      </c>
      <c r="B127" s="47" t="s">
        <v>28</v>
      </c>
      <c r="C127" s="49" t="s">
        <v>240</v>
      </c>
      <c r="D127" s="41">
        <v>2255500</v>
      </c>
      <c r="E127" s="62">
        <f>201280.52+40851.04+320348.17+197904.18+176648.38+12507.82+362377.36+200470.5+199200.41+181263.21</f>
        <v>1892851.5899999996</v>
      </c>
      <c r="F127" s="41">
        <f t="shared" si="2"/>
        <v>362648.41000000038</v>
      </c>
    </row>
    <row r="128" spans="1:6" ht="82" customHeight="1" x14ac:dyDescent="0.25">
      <c r="A128" s="59" t="s">
        <v>241</v>
      </c>
      <c r="B128" s="47" t="s">
        <v>28</v>
      </c>
      <c r="C128" s="49" t="s">
        <v>242</v>
      </c>
      <c r="D128" s="41">
        <v>-228750</v>
      </c>
      <c r="E128" s="62">
        <f>-14578.03-13214.3-15545.34-12844.51-19598.72-18047.93-15727.32-22670.45-30388.43-14277.21</f>
        <v>-176892.24</v>
      </c>
      <c r="F128" s="41">
        <f t="shared" si="2"/>
        <v>-51857.760000000009</v>
      </c>
    </row>
    <row r="129" spans="1:6" ht="24" customHeight="1" x14ac:dyDescent="0.3">
      <c r="A129" s="46" t="s">
        <v>243</v>
      </c>
      <c r="B129" s="47" t="s">
        <v>28</v>
      </c>
      <c r="C129" s="43" t="s">
        <v>244</v>
      </c>
      <c r="D129" s="39">
        <f>D130+D150+D161+D165</f>
        <v>53321288</v>
      </c>
      <c r="E129" s="39">
        <f>E130+E150+E161+E165</f>
        <v>48900517.530000001</v>
      </c>
      <c r="F129" s="39">
        <f t="shared" si="2"/>
        <v>4420770.4699999988</v>
      </c>
    </row>
    <row r="130" spans="1:6" ht="39" x14ac:dyDescent="0.3">
      <c r="A130" s="46" t="s">
        <v>245</v>
      </c>
      <c r="B130" s="47" t="s">
        <v>28</v>
      </c>
      <c r="C130" s="43" t="s">
        <v>246</v>
      </c>
      <c r="D130" s="39">
        <f>D131+D138+D146</f>
        <v>52245000</v>
      </c>
      <c r="E130" s="39">
        <f>E131+E138+E146</f>
        <v>47823834.460000001</v>
      </c>
      <c r="F130" s="39">
        <f t="shared" si="2"/>
        <v>4421165.5399999991</v>
      </c>
    </row>
    <row r="131" spans="1:6" ht="31.5" x14ac:dyDescent="0.3">
      <c r="A131" s="63" t="s">
        <v>247</v>
      </c>
      <c r="B131" s="47" t="s">
        <v>28</v>
      </c>
      <c r="C131" s="64" t="s">
        <v>248</v>
      </c>
      <c r="D131" s="65">
        <f>+D132+D135</f>
        <v>35150000</v>
      </c>
      <c r="E131" s="65">
        <f>+E132+E135</f>
        <v>31415398.560000002</v>
      </c>
      <c r="F131" s="39">
        <f t="shared" si="2"/>
        <v>3734601.4399999976</v>
      </c>
    </row>
    <row r="132" spans="1:6" s="55" customFormat="1" ht="31.5" x14ac:dyDescent="0.3">
      <c r="A132" s="54" t="s">
        <v>247</v>
      </c>
      <c r="B132" s="50" t="s">
        <v>28</v>
      </c>
      <c r="C132" s="43" t="s">
        <v>249</v>
      </c>
      <c r="D132" s="39">
        <f>SUM(D133:D134)</f>
        <v>35150000</v>
      </c>
      <c r="E132" s="39">
        <f>SUM(E133:E134)</f>
        <v>31415398.560000002</v>
      </c>
      <c r="F132" s="39">
        <f t="shared" si="2"/>
        <v>3734601.4399999976</v>
      </c>
    </row>
    <row r="133" spans="1:6" ht="55.5" customHeight="1" x14ac:dyDescent="0.25">
      <c r="A133" s="52" t="s">
        <v>250</v>
      </c>
      <c r="B133" s="47" t="s">
        <v>28</v>
      </c>
      <c r="C133" s="49" t="s">
        <v>251</v>
      </c>
      <c r="D133" s="41">
        <v>35150000</v>
      </c>
      <c r="E133" s="41">
        <f>293790.22+1563666.88+3410440.84+10425010.56+2283220.64+1445929.7+5268385.26+987610.97+282546.71+5409571.62</f>
        <v>31370173.400000002</v>
      </c>
      <c r="F133" s="41">
        <f t="shared" si="2"/>
        <v>3779826.5999999978</v>
      </c>
    </row>
    <row r="134" spans="1:6" ht="54" customHeight="1" x14ac:dyDescent="0.25">
      <c r="A134" s="52" t="s">
        <v>252</v>
      </c>
      <c r="B134" s="47" t="s">
        <v>28</v>
      </c>
      <c r="C134" s="49" t="s">
        <v>253</v>
      </c>
      <c r="D134" s="41"/>
      <c r="E134" s="41">
        <f>44798.02+135+427.13-135+0.01</f>
        <v>45225.159999999996</v>
      </c>
      <c r="F134" s="41">
        <f t="shared" si="2"/>
        <v>-45225.159999999996</v>
      </c>
    </row>
    <row r="135" spans="1:6" s="55" customFormat="1" ht="46.15" hidden="1" customHeight="1" x14ac:dyDescent="0.3">
      <c r="A135" s="54" t="s">
        <v>254</v>
      </c>
      <c r="B135" s="50" t="s">
        <v>28</v>
      </c>
      <c r="C135" s="43" t="s">
        <v>255</v>
      </c>
      <c r="D135" s="39">
        <f>SUM(D136:D137)</f>
        <v>0</v>
      </c>
      <c r="E135" s="39">
        <f>SUM(E136:E137)</f>
        <v>0</v>
      </c>
      <c r="F135" s="39">
        <f t="shared" si="2"/>
        <v>0</v>
      </c>
    </row>
    <row r="136" spans="1:6" ht="70.150000000000006" hidden="1" customHeight="1" x14ac:dyDescent="0.25">
      <c r="A136" s="48" t="s">
        <v>256</v>
      </c>
      <c r="B136" s="47" t="s">
        <v>28</v>
      </c>
      <c r="C136" s="49" t="s">
        <v>257</v>
      </c>
      <c r="D136" s="41"/>
      <c r="E136" s="41"/>
      <c r="F136" s="41">
        <f t="shared" si="2"/>
        <v>0</v>
      </c>
    </row>
    <row r="137" spans="1:6" ht="79.900000000000006" hidden="1" customHeight="1" x14ac:dyDescent="0.25">
      <c r="A137" s="48" t="s">
        <v>258</v>
      </c>
      <c r="B137" s="47" t="s">
        <v>28</v>
      </c>
      <c r="C137" s="49" t="s">
        <v>259</v>
      </c>
      <c r="D137" s="41"/>
      <c r="E137" s="41"/>
      <c r="F137" s="41">
        <f t="shared" si="2"/>
        <v>0</v>
      </c>
    </row>
    <row r="138" spans="1:6" ht="41.65" customHeight="1" x14ac:dyDescent="0.3">
      <c r="A138" s="63" t="s">
        <v>260</v>
      </c>
      <c r="B138" s="47" t="s">
        <v>28</v>
      </c>
      <c r="C138" s="64" t="s">
        <v>261</v>
      </c>
      <c r="D138" s="65">
        <f>+D139+D142</f>
        <v>17095000</v>
      </c>
      <c r="E138" s="65">
        <f>+E139+E142</f>
        <v>16408435.899999999</v>
      </c>
      <c r="F138" s="41">
        <f t="shared" si="2"/>
        <v>686564.10000000149</v>
      </c>
    </row>
    <row r="139" spans="1:6" s="55" customFormat="1" ht="42" x14ac:dyDescent="0.3">
      <c r="A139" s="54" t="s">
        <v>260</v>
      </c>
      <c r="B139" s="50" t="s">
        <v>28</v>
      </c>
      <c r="C139" s="43" t="s">
        <v>262</v>
      </c>
      <c r="D139" s="39">
        <f>SUM(D140:D141)</f>
        <v>17095000</v>
      </c>
      <c r="E139" s="39">
        <f>SUM(E140:E141)</f>
        <v>16408435.899999999</v>
      </c>
      <c r="F139" s="39">
        <f t="shared" si="2"/>
        <v>686564.10000000149</v>
      </c>
    </row>
    <row r="140" spans="1:6" ht="73.5" customHeight="1" x14ac:dyDescent="0.25">
      <c r="A140" s="52" t="s">
        <v>263</v>
      </c>
      <c r="B140" s="47" t="s">
        <v>28</v>
      </c>
      <c r="C140" s="49" t="s">
        <v>264</v>
      </c>
      <c r="D140" s="41">
        <v>17095000</v>
      </c>
      <c r="E140" s="41">
        <f>109875.18-9092.81+6460646.99+5501559+901810.79+668846.37+1541340.84+201990.9+111040.51+913234.99</f>
        <v>16401252.759999998</v>
      </c>
      <c r="F140" s="41">
        <f t="shared" si="2"/>
        <v>693747.24000000209</v>
      </c>
    </row>
    <row r="141" spans="1:6" ht="77.5" customHeight="1" x14ac:dyDescent="0.25">
      <c r="A141" s="52" t="s">
        <v>265</v>
      </c>
      <c r="B141" s="47" t="s">
        <v>28</v>
      </c>
      <c r="C141" s="49" t="s">
        <v>266</v>
      </c>
      <c r="D141" s="41"/>
      <c r="E141" s="41">
        <f>620.45+4.05+6558.64</f>
        <v>7183.14</v>
      </c>
      <c r="F141" s="41">
        <f t="shared" si="2"/>
        <v>-7183.14</v>
      </c>
    </row>
    <row r="142" spans="1:6" s="55" customFormat="1" ht="55" hidden="1" customHeight="1" x14ac:dyDescent="0.3">
      <c r="A142" s="66" t="s">
        <v>267</v>
      </c>
      <c r="B142" s="50" t="s">
        <v>28</v>
      </c>
      <c r="C142" s="43" t="s">
        <v>268</v>
      </c>
      <c r="D142" s="39">
        <f>SUM(D143:D145)</f>
        <v>0</v>
      </c>
      <c r="E142" s="39">
        <f>SUM(E143:E145)</f>
        <v>0</v>
      </c>
      <c r="F142" s="39">
        <f t="shared" si="2"/>
        <v>0</v>
      </c>
    </row>
    <row r="143" spans="1:6" ht="73.5" hidden="1" customHeight="1" x14ac:dyDescent="0.25">
      <c r="A143" s="48" t="s">
        <v>269</v>
      </c>
      <c r="B143" s="47" t="s">
        <v>28</v>
      </c>
      <c r="C143" s="49" t="s">
        <v>270</v>
      </c>
      <c r="D143" s="41"/>
      <c r="E143" s="41"/>
      <c r="F143" s="41">
        <f t="shared" si="2"/>
        <v>0</v>
      </c>
    </row>
    <row r="144" spans="1:6" ht="73.5" hidden="1" customHeight="1" x14ac:dyDescent="0.25">
      <c r="A144" s="48" t="s">
        <v>271</v>
      </c>
      <c r="B144" s="47" t="s">
        <v>28</v>
      </c>
      <c r="C144" s="49" t="s">
        <v>272</v>
      </c>
      <c r="D144" s="41"/>
      <c r="E144" s="41"/>
      <c r="F144" s="41">
        <f t="shared" si="2"/>
        <v>0</v>
      </c>
    </row>
    <row r="145" spans="1:6" ht="73.5" hidden="1" customHeight="1" x14ac:dyDescent="0.25">
      <c r="A145" s="48" t="s">
        <v>273</v>
      </c>
      <c r="B145" s="47" t="s">
        <v>28</v>
      </c>
      <c r="C145" s="49" t="s">
        <v>274</v>
      </c>
      <c r="D145" s="41"/>
      <c r="E145" s="41"/>
      <c r="F145" s="41">
        <f t="shared" si="2"/>
        <v>0</v>
      </c>
    </row>
    <row r="146" spans="1:6" ht="33" hidden="1" customHeight="1" x14ac:dyDescent="0.3">
      <c r="A146" s="66" t="s">
        <v>275</v>
      </c>
      <c r="B146" s="50" t="s">
        <v>28</v>
      </c>
      <c r="C146" s="43" t="s">
        <v>276</v>
      </c>
      <c r="D146" s="39"/>
      <c r="E146" s="39">
        <f>SUM(E147:E149)</f>
        <v>0</v>
      </c>
      <c r="F146" s="41">
        <f t="shared" si="2"/>
        <v>0</v>
      </c>
    </row>
    <row r="147" spans="1:6" ht="31.5" hidden="1" x14ac:dyDescent="0.25">
      <c r="A147" s="52" t="s">
        <v>275</v>
      </c>
      <c r="B147" s="47" t="s">
        <v>28</v>
      </c>
      <c r="C147" s="49" t="s">
        <v>277</v>
      </c>
      <c r="D147" s="41"/>
      <c r="E147" s="41"/>
      <c r="F147" s="41">
        <f t="shared" si="2"/>
        <v>0</v>
      </c>
    </row>
    <row r="148" spans="1:6" ht="42" hidden="1" x14ac:dyDescent="0.25">
      <c r="A148" s="52" t="s">
        <v>278</v>
      </c>
      <c r="B148" s="47" t="s">
        <v>28</v>
      </c>
      <c r="C148" s="49" t="s">
        <v>279</v>
      </c>
      <c r="D148" s="41"/>
      <c r="E148" s="41"/>
      <c r="F148" s="41">
        <f t="shared" si="2"/>
        <v>0</v>
      </c>
    </row>
    <row r="149" spans="1:6" ht="42" hidden="1" x14ac:dyDescent="0.25">
      <c r="A149" s="52" t="s">
        <v>280</v>
      </c>
      <c r="B149" s="47" t="s">
        <v>28</v>
      </c>
      <c r="C149" s="49" t="s">
        <v>281</v>
      </c>
      <c r="D149" s="41"/>
      <c r="E149" s="41"/>
      <c r="F149" s="41">
        <f>D149-E149</f>
        <v>0</v>
      </c>
    </row>
    <row r="150" spans="1:6" ht="26" hidden="1" x14ac:dyDescent="0.3">
      <c r="A150" s="53" t="s">
        <v>282</v>
      </c>
      <c r="B150" s="47" t="s">
        <v>28</v>
      </c>
      <c r="C150" s="43" t="s">
        <v>283</v>
      </c>
      <c r="D150" s="39">
        <f>+D151+D156</f>
        <v>0</v>
      </c>
      <c r="E150" s="39">
        <f>+E151+E156</f>
        <v>0</v>
      </c>
      <c r="F150" s="39">
        <f t="shared" si="2"/>
        <v>0</v>
      </c>
    </row>
    <row r="151" spans="1:6" s="55" customFormat="1" ht="21" hidden="1" x14ac:dyDescent="0.3">
      <c r="A151" s="66" t="s">
        <v>282</v>
      </c>
      <c r="B151" s="50" t="s">
        <v>28</v>
      </c>
      <c r="C151" s="43" t="s">
        <v>284</v>
      </c>
      <c r="D151" s="39">
        <f>SUM(D152:D155)</f>
        <v>0</v>
      </c>
      <c r="E151" s="39">
        <f>SUM(E152:E155)</f>
        <v>0</v>
      </c>
      <c r="F151" s="39">
        <f t="shared" si="2"/>
        <v>0</v>
      </c>
    </row>
    <row r="152" spans="1:6" ht="52.5" hidden="1" x14ac:dyDescent="0.25">
      <c r="A152" s="52" t="s">
        <v>285</v>
      </c>
      <c r="B152" s="47" t="s">
        <v>28</v>
      </c>
      <c r="C152" s="49" t="s">
        <v>286</v>
      </c>
      <c r="D152" s="41"/>
      <c r="E152" s="41"/>
      <c r="F152" s="41">
        <f t="shared" si="2"/>
        <v>0</v>
      </c>
    </row>
    <row r="153" spans="1:6" ht="31.5" hidden="1" x14ac:dyDescent="0.25">
      <c r="A153" s="52" t="s">
        <v>287</v>
      </c>
      <c r="B153" s="47" t="s">
        <v>28</v>
      </c>
      <c r="C153" s="49" t="s">
        <v>288</v>
      </c>
      <c r="D153" s="41"/>
      <c r="E153" s="41"/>
      <c r="F153" s="41">
        <f t="shared" si="2"/>
        <v>0</v>
      </c>
    </row>
    <row r="154" spans="1:6" ht="52.5" hidden="1" x14ac:dyDescent="0.25">
      <c r="A154" s="52" t="s">
        <v>289</v>
      </c>
      <c r="B154" s="47" t="s">
        <v>28</v>
      </c>
      <c r="C154" s="49" t="s">
        <v>290</v>
      </c>
      <c r="D154" s="41"/>
      <c r="E154" s="41"/>
      <c r="F154" s="41">
        <f t="shared" si="2"/>
        <v>0</v>
      </c>
    </row>
    <row r="155" spans="1:6" ht="31.5" hidden="1" x14ac:dyDescent="0.25">
      <c r="A155" s="52" t="s">
        <v>291</v>
      </c>
      <c r="B155" s="47" t="s">
        <v>28</v>
      </c>
      <c r="C155" s="49" t="s">
        <v>292</v>
      </c>
      <c r="D155" s="41"/>
      <c r="E155" s="41"/>
      <c r="F155" s="41">
        <f t="shared" si="2"/>
        <v>0</v>
      </c>
    </row>
    <row r="156" spans="1:6" s="55" customFormat="1" ht="31.5" hidden="1" x14ac:dyDescent="0.3">
      <c r="A156" s="66" t="s">
        <v>293</v>
      </c>
      <c r="B156" s="50" t="s">
        <v>28</v>
      </c>
      <c r="C156" s="43" t="s">
        <v>294</v>
      </c>
      <c r="D156" s="39">
        <f>SUM(D157:D160)</f>
        <v>0</v>
      </c>
      <c r="E156" s="39">
        <f>SUM(E157:E160)</f>
        <v>0</v>
      </c>
      <c r="F156" s="39">
        <f t="shared" si="2"/>
        <v>0</v>
      </c>
    </row>
    <row r="157" spans="1:6" ht="63" hidden="1" x14ac:dyDescent="0.25">
      <c r="A157" s="52" t="s">
        <v>295</v>
      </c>
      <c r="B157" s="47" t="s">
        <v>28</v>
      </c>
      <c r="C157" s="49" t="s">
        <v>296</v>
      </c>
      <c r="D157" s="41"/>
      <c r="E157" s="41"/>
      <c r="F157" s="41">
        <f t="shared" si="2"/>
        <v>0</v>
      </c>
    </row>
    <row r="158" spans="1:6" ht="42" hidden="1" x14ac:dyDescent="0.25">
      <c r="A158" s="52" t="s">
        <v>297</v>
      </c>
      <c r="B158" s="47" t="s">
        <v>28</v>
      </c>
      <c r="C158" s="49" t="s">
        <v>298</v>
      </c>
      <c r="D158" s="41"/>
      <c r="E158" s="41"/>
      <c r="F158" s="41">
        <f t="shared" si="2"/>
        <v>0</v>
      </c>
    </row>
    <row r="159" spans="1:6" ht="63" hidden="1" x14ac:dyDescent="0.25">
      <c r="A159" s="52" t="s">
        <v>299</v>
      </c>
      <c r="B159" s="47" t="s">
        <v>28</v>
      </c>
      <c r="C159" s="49" t="s">
        <v>300</v>
      </c>
      <c r="D159" s="41"/>
      <c r="E159" s="41"/>
      <c r="F159" s="41">
        <f t="shared" si="2"/>
        <v>0</v>
      </c>
    </row>
    <row r="160" spans="1:6" ht="42" hidden="1" x14ac:dyDescent="0.25">
      <c r="A160" s="52" t="s">
        <v>301</v>
      </c>
      <c r="B160" s="47" t="s">
        <v>28</v>
      </c>
      <c r="C160" s="49" t="s">
        <v>302</v>
      </c>
      <c r="D160" s="41"/>
      <c r="E160" s="41"/>
      <c r="F160" s="41">
        <f t="shared" si="2"/>
        <v>0</v>
      </c>
    </row>
    <row r="161" spans="1:6" ht="20" customHeight="1" x14ac:dyDescent="0.3">
      <c r="A161" s="67" t="s">
        <v>303</v>
      </c>
      <c r="B161" s="47" t="s">
        <v>28</v>
      </c>
      <c r="C161" s="43" t="s">
        <v>304</v>
      </c>
      <c r="D161" s="39">
        <f>+D162</f>
        <v>1066288</v>
      </c>
      <c r="E161" s="39">
        <f>+E162</f>
        <v>1066288</v>
      </c>
      <c r="F161" s="39">
        <f t="shared" si="2"/>
        <v>0</v>
      </c>
    </row>
    <row r="162" spans="1:6" s="55" customFormat="1" ht="16.899999999999999" customHeight="1" x14ac:dyDescent="0.3">
      <c r="A162" s="67" t="s">
        <v>303</v>
      </c>
      <c r="B162" s="50" t="s">
        <v>28</v>
      </c>
      <c r="C162" s="43" t="s">
        <v>305</v>
      </c>
      <c r="D162" s="39">
        <f>SUM(D163:D164)</f>
        <v>1066288</v>
      </c>
      <c r="E162" s="39">
        <f>SUM(E163:E164)</f>
        <v>1066288</v>
      </c>
      <c r="F162" s="39">
        <f t="shared" si="2"/>
        <v>0</v>
      </c>
    </row>
    <row r="163" spans="1:6" ht="46.9" customHeight="1" x14ac:dyDescent="0.25">
      <c r="A163" s="68" t="s">
        <v>306</v>
      </c>
      <c r="B163" s="47" t="s">
        <v>28</v>
      </c>
      <c r="C163" s="49" t="s">
        <v>307</v>
      </c>
      <c r="D163" s="41">
        <f>415000+350000+301288</f>
        <v>1066288</v>
      </c>
      <c r="E163" s="41">
        <f>40951.52+444785.48+360755+219796</f>
        <v>1066288</v>
      </c>
      <c r="F163" s="41">
        <f t="shared" si="2"/>
        <v>0</v>
      </c>
    </row>
    <row r="164" spans="1:6" ht="53.25" hidden="1" customHeight="1" x14ac:dyDescent="0.25">
      <c r="A164" s="69" t="s">
        <v>308</v>
      </c>
      <c r="B164" s="47" t="s">
        <v>28</v>
      </c>
      <c r="C164" s="49" t="s">
        <v>309</v>
      </c>
      <c r="D164" s="41"/>
      <c r="E164" s="41"/>
      <c r="F164" s="41">
        <f t="shared" si="2"/>
        <v>0</v>
      </c>
    </row>
    <row r="165" spans="1:6" ht="46" x14ac:dyDescent="0.3">
      <c r="A165" s="70" t="s">
        <v>310</v>
      </c>
      <c r="B165" s="50" t="s">
        <v>28</v>
      </c>
      <c r="C165" s="43" t="s">
        <v>311</v>
      </c>
      <c r="D165" s="39">
        <f>SUM(D166:D167)</f>
        <v>10000</v>
      </c>
      <c r="E165" s="39">
        <f>SUM(E166:E167)</f>
        <v>10395.07</v>
      </c>
      <c r="F165" s="39">
        <f>D165-E165</f>
        <v>-395.06999999999971</v>
      </c>
    </row>
    <row r="166" spans="1:6" ht="80.5" x14ac:dyDescent="0.25">
      <c r="A166" s="68" t="s">
        <v>312</v>
      </c>
      <c r="B166" s="47" t="s">
        <v>28</v>
      </c>
      <c r="C166" s="49" t="s">
        <v>313</v>
      </c>
      <c r="D166" s="41">
        <v>10000</v>
      </c>
      <c r="E166" s="41">
        <f>2957.96+3004.68+1173.84+156.37+228.34+698.46+512.34+1663.08</f>
        <v>10395.07</v>
      </c>
      <c r="F166" s="41">
        <f>D166-E166</f>
        <v>-395.06999999999971</v>
      </c>
    </row>
    <row r="167" spans="1:6" ht="82" hidden="1" customHeight="1" x14ac:dyDescent="0.25">
      <c r="A167" s="68" t="s">
        <v>314</v>
      </c>
      <c r="B167" s="47" t="s">
        <v>28</v>
      </c>
      <c r="C167" s="49" t="s">
        <v>315</v>
      </c>
      <c r="D167" s="41"/>
      <c r="E167" s="41"/>
      <c r="F167" s="41">
        <f>D167-E167</f>
        <v>0</v>
      </c>
    </row>
    <row r="168" spans="1:6" ht="13" x14ac:dyDescent="0.3">
      <c r="A168" s="46" t="s">
        <v>316</v>
      </c>
      <c r="B168" s="47" t="s">
        <v>28</v>
      </c>
      <c r="C168" s="43" t="s">
        <v>317</v>
      </c>
      <c r="D168" s="39">
        <f>D169+D173+D184</f>
        <v>44530000</v>
      </c>
      <c r="E168" s="39">
        <f>E169+E173+E184</f>
        <v>30889114</v>
      </c>
      <c r="F168" s="41">
        <f t="shared" si="2"/>
        <v>13640886</v>
      </c>
    </row>
    <row r="169" spans="1:6" s="55" customFormat="1" ht="43.5" customHeight="1" x14ac:dyDescent="0.3">
      <c r="A169" s="66" t="s">
        <v>318</v>
      </c>
      <c r="B169" s="50" t="s">
        <v>28</v>
      </c>
      <c r="C169" s="43" t="s">
        <v>319</v>
      </c>
      <c r="D169" s="39">
        <f>SUM(D170:D172)</f>
        <v>16150000</v>
      </c>
      <c r="E169" s="39">
        <f>SUM(E170:E172)</f>
        <v>9003877.8399999999</v>
      </c>
      <c r="F169" s="39">
        <f t="shared" si="2"/>
        <v>7146122.1600000001</v>
      </c>
    </row>
    <row r="170" spans="1:6" ht="64.5" customHeight="1" x14ac:dyDescent="0.25">
      <c r="A170" s="52" t="s">
        <v>320</v>
      </c>
      <c r="B170" s="47" t="s">
        <v>28</v>
      </c>
      <c r="C170" s="49" t="s">
        <v>321</v>
      </c>
      <c r="D170" s="41">
        <v>16150000</v>
      </c>
      <c r="E170" s="41">
        <f>553487.47+420696.54+387161.11+250219.85+163083.62+210537.14+300937.73+2908895.46+1601835.32+2207023.6</f>
        <v>9003877.8399999999</v>
      </c>
      <c r="F170" s="41">
        <f t="shared" si="2"/>
        <v>7146122.1600000001</v>
      </c>
    </row>
    <row r="171" spans="1:6" ht="52.5" hidden="1" x14ac:dyDescent="0.25">
      <c r="A171" s="48" t="s">
        <v>322</v>
      </c>
      <c r="B171" s="47" t="s">
        <v>28</v>
      </c>
      <c r="C171" s="49" t="s">
        <v>323</v>
      </c>
      <c r="D171" s="41"/>
      <c r="E171" s="41"/>
      <c r="F171" s="41">
        <f t="shared" ref="F171:F199" si="3">D171-E171</f>
        <v>0</v>
      </c>
    </row>
    <row r="172" spans="1:6" ht="63" hidden="1" x14ac:dyDescent="0.25">
      <c r="A172" s="48" t="s">
        <v>324</v>
      </c>
      <c r="B172" s="47" t="s">
        <v>28</v>
      </c>
      <c r="C172" s="49" t="s">
        <v>325</v>
      </c>
      <c r="D172" s="41"/>
      <c r="E172" s="41"/>
      <c r="F172" s="41">
        <f t="shared" si="3"/>
        <v>0</v>
      </c>
    </row>
    <row r="173" spans="1:6" ht="13" x14ac:dyDescent="0.3">
      <c r="A173" s="46" t="s">
        <v>326</v>
      </c>
      <c r="B173" s="47" t="s">
        <v>28</v>
      </c>
      <c r="C173" s="43" t="s">
        <v>327</v>
      </c>
      <c r="D173" s="39">
        <f>+D174+D179</f>
        <v>17080000</v>
      </c>
      <c r="E173" s="39">
        <f>+E174+E179</f>
        <v>10891745.199999999</v>
      </c>
      <c r="F173" s="39">
        <f t="shared" si="3"/>
        <v>6188254.8000000007</v>
      </c>
    </row>
    <row r="174" spans="1:6" s="55" customFormat="1" ht="13" x14ac:dyDescent="0.3">
      <c r="A174" s="54" t="s">
        <v>328</v>
      </c>
      <c r="B174" s="50" t="s">
        <v>28</v>
      </c>
      <c r="C174" s="43" t="s">
        <v>329</v>
      </c>
      <c r="D174" s="39">
        <f>SUM(D175:D178)</f>
        <v>3100000</v>
      </c>
      <c r="E174" s="39">
        <f>SUM(E175:E178)</f>
        <v>3438020.73</v>
      </c>
      <c r="F174" s="39">
        <f t="shared" si="3"/>
        <v>-338020.73</v>
      </c>
    </row>
    <row r="175" spans="1:6" ht="42" x14ac:dyDescent="0.25">
      <c r="A175" s="48" t="s">
        <v>330</v>
      </c>
      <c r="B175" s="47" t="s">
        <v>28</v>
      </c>
      <c r="C175" s="49" t="s">
        <v>331</v>
      </c>
      <c r="D175" s="41">
        <v>3100000</v>
      </c>
      <c r="E175" s="41">
        <f>5928.87+726985.73+256684.81+797054.59+162342.65-152540.58+709546.93+105009.55+43664.02+783344.16</f>
        <v>3438020.73</v>
      </c>
      <c r="F175" s="41">
        <f t="shared" si="3"/>
        <v>-338020.73</v>
      </c>
    </row>
    <row r="176" spans="1:6" ht="21" hidden="1" x14ac:dyDescent="0.25">
      <c r="A176" s="48" t="s">
        <v>332</v>
      </c>
      <c r="B176" s="47" t="s">
        <v>28</v>
      </c>
      <c r="C176" s="49" t="s">
        <v>333</v>
      </c>
      <c r="D176" s="41"/>
      <c r="E176" s="41"/>
      <c r="F176" s="41">
        <f t="shared" si="3"/>
        <v>0</v>
      </c>
    </row>
    <row r="177" spans="1:6" ht="42" hidden="1" x14ac:dyDescent="0.25">
      <c r="A177" s="48" t="s">
        <v>334</v>
      </c>
      <c r="B177" s="47" t="s">
        <v>28</v>
      </c>
      <c r="C177" s="49" t="s">
        <v>335</v>
      </c>
      <c r="D177" s="41"/>
      <c r="E177" s="41"/>
      <c r="F177" s="41">
        <f t="shared" si="3"/>
        <v>0</v>
      </c>
    </row>
    <row r="178" spans="1:6" ht="24" hidden="1" customHeight="1" x14ac:dyDescent="0.25">
      <c r="A178" s="48" t="s">
        <v>336</v>
      </c>
      <c r="B178" s="47" t="s">
        <v>28</v>
      </c>
      <c r="C178" s="49" t="s">
        <v>337</v>
      </c>
      <c r="D178" s="41"/>
      <c r="E178" s="41"/>
      <c r="F178" s="41">
        <f t="shared" si="3"/>
        <v>0</v>
      </c>
    </row>
    <row r="179" spans="1:6" s="55" customFormat="1" ht="13" x14ac:dyDescent="0.3">
      <c r="A179" s="54" t="s">
        <v>338</v>
      </c>
      <c r="B179" s="50" t="s">
        <v>28</v>
      </c>
      <c r="C179" s="43" t="s">
        <v>339</v>
      </c>
      <c r="D179" s="39">
        <f>SUM(D180:D183)</f>
        <v>13980000</v>
      </c>
      <c r="E179" s="39">
        <f>SUM(E180:E183)</f>
        <v>7453724.4699999997</v>
      </c>
      <c r="F179" s="39">
        <f t="shared" si="3"/>
        <v>6526275.5300000003</v>
      </c>
    </row>
    <row r="180" spans="1:6" ht="42" x14ac:dyDescent="0.25">
      <c r="A180" s="48" t="s">
        <v>340</v>
      </c>
      <c r="B180" s="47" t="s">
        <v>28</v>
      </c>
      <c r="C180" s="49" t="s">
        <v>341</v>
      </c>
      <c r="D180" s="71">
        <v>13980000</v>
      </c>
      <c r="E180" s="71">
        <f>698218.86+469288.08+370973.87+298121.42+146360.78+129570.19+193486.52+1409838.63+1463528.92+2274337.2</f>
        <v>7453724.4699999997</v>
      </c>
      <c r="F180" s="41">
        <f t="shared" si="3"/>
        <v>6526275.5300000003</v>
      </c>
    </row>
    <row r="181" spans="1:6" ht="21" hidden="1" x14ac:dyDescent="0.25">
      <c r="A181" s="48" t="s">
        <v>342</v>
      </c>
      <c r="B181" s="47" t="s">
        <v>28</v>
      </c>
      <c r="C181" s="49" t="s">
        <v>343</v>
      </c>
      <c r="D181" s="71"/>
      <c r="E181" s="71"/>
      <c r="F181" s="41">
        <f t="shared" si="3"/>
        <v>0</v>
      </c>
    </row>
    <row r="182" spans="1:6" ht="42" hidden="1" x14ac:dyDescent="0.25">
      <c r="A182" s="48" t="s">
        <v>344</v>
      </c>
      <c r="B182" s="47" t="s">
        <v>28</v>
      </c>
      <c r="C182" s="49" t="s">
        <v>345</v>
      </c>
      <c r="D182" s="41"/>
      <c r="E182" s="41"/>
      <c r="F182" s="41">
        <f t="shared" si="3"/>
        <v>0</v>
      </c>
    </row>
    <row r="183" spans="1:6" ht="26.25" hidden="1" customHeight="1" x14ac:dyDescent="0.25">
      <c r="A183" s="48" t="s">
        <v>346</v>
      </c>
      <c r="B183" s="47" t="s">
        <v>28</v>
      </c>
      <c r="C183" s="49" t="s">
        <v>347</v>
      </c>
      <c r="D183" s="41"/>
      <c r="E183" s="41"/>
      <c r="F183" s="41">
        <f t="shared" si="3"/>
        <v>0</v>
      </c>
    </row>
    <row r="184" spans="1:6" ht="13" x14ac:dyDescent="0.3">
      <c r="A184" s="46" t="s">
        <v>348</v>
      </c>
      <c r="B184" s="47" t="s">
        <v>28</v>
      </c>
      <c r="C184" s="43" t="s">
        <v>349</v>
      </c>
      <c r="D184" s="39">
        <f>+D185+D188</f>
        <v>11300000</v>
      </c>
      <c r="E184" s="39">
        <f>+E185+E188</f>
        <v>10993490.959999999</v>
      </c>
      <c r="F184" s="39">
        <f t="shared" si="3"/>
        <v>306509.04000000097</v>
      </c>
    </row>
    <row r="185" spans="1:6" s="55" customFormat="1" ht="34" customHeight="1" x14ac:dyDescent="0.3">
      <c r="A185" s="66" t="s">
        <v>350</v>
      </c>
      <c r="B185" s="50" t="s">
        <v>28</v>
      </c>
      <c r="C185" s="43" t="s">
        <v>351</v>
      </c>
      <c r="D185" s="39">
        <f>SUM(D186:D187)</f>
        <v>9800000</v>
      </c>
      <c r="E185" s="39">
        <f>SUM(E186:E187)</f>
        <v>10250474.889999999</v>
      </c>
      <c r="F185" s="39">
        <f t="shared" si="3"/>
        <v>-450474.88999999873</v>
      </c>
    </row>
    <row r="186" spans="1:6" ht="53" customHeight="1" x14ac:dyDescent="0.25">
      <c r="A186" s="52" t="s">
        <v>352</v>
      </c>
      <c r="B186" s="47" t="s">
        <v>28</v>
      </c>
      <c r="C186" s="49" t="s">
        <v>353</v>
      </c>
      <c r="D186" s="72">
        <v>9800000</v>
      </c>
      <c r="E186" s="41">
        <f>2368690.78+134866.42+2488022+298488.95-22938.28+2437174.34+7939.82+85683.26+2452547.6</f>
        <v>10250474.889999999</v>
      </c>
      <c r="F186" s="41">
        <f t="shared" si="3"/>
        <v>-450474.88999999873</v>
      </c>
    </row>
    <row r="187" spans="1:6" ht="52.5" hidden="1" x14ac:dyDescent="0.25">
      <c r="A187" s="52" t="s">
        <v>354</v>
      </c>
      <c r="B187" s="47" t="s">
        <v>28</v>
      </c>
      <c r="C187" s="49" t="s">
        <v>355</v>
      </c>
      <c r="D187" s="72"/>
      <c r="E187" s="41"/>
      <c r="F187" s="41">
        <f t="shared" si="3"/>
        <v>0</v>
      </c>
    </row>
    <row r="188" spans="1:6" s="55" customFormat="1" ht="34" customHeight="1" x14ac:dyDescent="0.3">
      <c r="A188" s="66" t="s">
        <v>356</v>
      </c>
      <c r="B188" s="50" t="s">
        <v>28</v>
      </c>
      <c r="C188" s="43" t="s">
        <v>357</v>
      </c>
      <c r="D188" s="39">
        <f>SUM(D189:D190)</f>
        <v>1500000</v>
      </c>
      <c r="E188" s="39">
        <f>SUM(E189:E190)</f>
        <v>743016.07000000007</v>
      </c>
      <c r="F188" s="39">
        <f t="shared" si="3"/>
        <v>756983.92999999993</v>
      </c>
    </row>
    <row r="189" spans="1:6" ht="56.5" customHeight="1" x14ac:dyDescent="0.25">
      <c r="A189" s="52" t="s">
        <v>358</v>
      </c>
      <c r="B189" s="47" t="s">
        <v>28</v>
      </c>
      <c r="C189" s="49" t="s">
        <v>359</v>
      </c>
      <c r="D189" s="41">
        <v>1500000</v>
      </c>
      <c r="E189" s="41">
        <f>47797.81+23056.17+12005.59+21733.03+10332.99+10959.66+19894.13+203091.25+170418.81+223726.63</f>
        <v>743016.07000000007</v>
      </c>
      <c r="F189" s="41">
        <f t="shared" si="3"/>
        <v>756983.92999999993</v>
      </c>
    </row>
    <row r="190" spans="1:6" ht="52.5" hidden="1" x14ac:dyDescent="0.25">
      <c r="A190" s="52" t="s">
        <v>360</v>
      </c>
      <c r="B190" s="47" t="s">
        <v>28</v>
      </c>
      <c r="C190" s="49" t="s">
        <v>361</v>
      </c>
      <c r="D190" s="41"/>
      <c r="E190" s="41"/>
      <c r="F190" s="41">
        <f t="shared" si="3"/>
        <v>0</v>
      </c>
    </row>
    <row r="191" spans="1:6" ht="34.15" hidden="1" customHeight="1" x14ac:dyDescent="0.3">
      <c r="A191" s="48" t="s">
        <v>362</v>
      </c>
      <c r="B191" s="47" t="s">
        <v>28</v>
      </c>
      <c r="C191" s="43" t="s">
        <v>363</v>
      </c>
      <c r="D191" s="39">
        <f>D192</f>
        <v>0</v>
      </c>
      <c r="E191" s="39">
        <f>E192</f>
        <v>0</v>
      </c>
      <c r="F191" s="39">
        <f t="shared" si="3"/>
        <v>0</v>
      </c>
    </row>
    <row r="192" spans="1:6" ht="25.15" hidden="1" customHeight="1" x14ac:dyDescent="0.3">
      <c r="A192" s="54" t="s">
        <v>364</v>
      </c>
      <c r="B192" s="47" t="s">
        <v>28</v>
      </c>
      <c r="C192" s="43" t="s">
        <v>365</v>
      </c>
      <c r="D192" s="39">
        <f>SUM(D193:D195)</f>
        <v>0</v>
      </c>
      <c r="E192" s="39">
        <f>SUM(E193:E195)</f>
        <v>0</v>
      </c>
      <c r="F192" s="39">
        <f t="shared" si="3"/>
        <v>0</v>
      </c>
    </row>
    <row r="193" spans="1:81" ht="63" hidden="1" customHeight="1" x14ac:dyDescent="0.25">
      <c r="A193" s="48" t="s">
        <v>366</v>
      </c>
      <c r="B193" s="47" t="s">
        <v>28</v>
      </c>
      <c r="C193" s="49" t="s">
        <v>367</v>
      </c>
      <c r="D193" s="41"/>
      <c r="E193" s="41"/>
      <c r="F193" s="41">
        <f t="shared" si="3"/>
        <v>0</v>
      </c>
    </row>
    <row r="194" spans="1:81" ht="46.15" hidden="1" customHeight="1" x14ac:dyDescent="0.25">
      <c r="A194" s="48" t="s">
        <v>368</v>
      </c>
      <c r="B194" s="47" t="s">
        <v>28</v>
      </c>
      <c r="C194" s="49" t="s">
        <v>369</v>
      </c>
      <c r="D194" s="41"/>
      <c r="E194" s="41"/>
      <c r="F194" s="41">
        <f t="shared" si="3"/>
        <v>0</v>
      </c>
    </row>
    <row r="195" spans="1:81" ht="27" hidden="1" customHeight="1" x14ac:dyDescent="0.25">
      <c r="A195" s="48" t="s">
        <v>370</v>
      </c>
      <c r="B195" s="47" t="s">
        <v>28</v>
      </c>
      <c r="C195" s="49" t="s">
        <v>371</v>
      </c>
      <c r="D195" s="41"/>
      <c r="E195" s="41"/>
      <c r="F195" s="41">
        <f t="shared" si="3"/>
        <v>0</v>
      </c>
    </row>
    <row r="196" spans="1:81" ht="21" hidden="1" x14ac:dyDescent="0.3">
      <c r="A196" s="54" t="s">
        <v>55</v>
      </c>
      <c r="B196" s="47" t="s">
        <v>28</v>
      </c>
      <c r="C196" s="43" t="s">
        <v>372</v>
      </c>
      <c r="D196" s="39">
        <f>SUM(D197:D197)</f>
        <v>0</v>
      </c>
      <c r="E196" s="39">
        <f>SUM(E197:E197)</f>
        <v>0</v>
      </c>
      <c r="F196" s="39">
        <f t="shared" si="3"/>
        <v>0</v>
      </c>
    </row>
    <row r="197" spans="1:81" ht="40" hidden="1" customHeight="1" x14ac:dyDescent="0.25">
      <c r="A197" s="48" t="s">
        <v>373</v>
      </c>
      <c r="B197" s="47" t="s">
        <v>28</v>
      </c>
      <c r="C197" s="49" t="s">
        <v>374</v>
      </c>
      <c r="D197" s="41"/>
      <c r="E197" s="41"/>
      <c r="F197" s="41">
        <f t="shared" si="3"/>
        <v>0</v>
      </c>
    </row>
    <row r="198" spans="1:81" ht="42" x14ac:dyDescent="0.3">
      <c r="A198" s="54" t="s">
        <v>375</v>
      </c>
      <c r="B198" s="50" t="s">
        <v>33</v>
      </c>
      <c r="C198" s="43" t="s">
        <v>376</v>
      </c>
      <c r="D198" s="39">
        <f>D199</f>
        <v>30000</v>
      </c>
      <c r="E198" s="39">
        <f>E199</f>
        <v>15805.89</v>
      </c>
      <c r="F198" s="39">
        <f t="shared" si="3"/>
        <v>14194.11</v>
      </c>
    </row>
    <row r="199" spans="1:81" x14ac:dyDescent="0.25">
      <c r="A199" s="48" t="s">
        <v>35</v>
      </c>
      <c r="B199" s="47" t="s">
        <v>28</v>
      </c>
      <c r="C199" s="49" t="s">
        <v>377</v>
      </c>
      <c r="D199" s="41">
        <f>D200</f>
        <v>30000</v>
      </c>
      <c r="E199" s="41">
        <f>E200</f>
        <v>15805.89</v>
      </c>
      <c r="F199" s="41">
        <f t="shared" si="3"/>
        <v>14194.11</v>
      </c>
    </row>
    <row r="200" spans="1:81" ht="20.5" customHeight="1" x14ac:dyDescent="0.25">
      <c r="A200" s="48" t="s">
        <v>55</v>
      </c>
      <c r="B200" s="47" t="s">
        <v>28</v>
      </c>
      <c r="C200" s="49" t="s">
        <v>378</v>
      </c>
      <c r="D200" s="41">
        <f>SUM(D201:D201)</f>
        <v>30000</v>
      </c>
      <c r="E200" s="41">
        <f>SUM(E201:E201)</f>
        <v>15805.89</v>
      </c>
      <c r="F200" s="41">
        <f>D200-E200</f>
        <v>14194.11</v>
      </c>
    </row>
    <row r="201" spans="1:81" ht="48" customHeight="1" x14ac:dyDescent="0.25">
      <c r="A201" s="52" t="s">
        <v>379</v>
      </c>
      <c r="B201" s="47" t="s">
        <v>28</v>
      </c>
      <c r="C201" s="49" t="s">
        <v>380</v>
      </c>
      <c r="D201" s="41">
        <v>30000</v>
      </c>
      <c r="E201" s="41">
        <f>2000+7000+3056.81+1500.27+1498.81+750</f>
        <v>15805.89</v>
      </c>
      <c r="F201" s="41">
        <f>D201-E201</f>
        <v>14194.11</v>
      </c>
    </row>
    <row r="202" spans="1:81" x14ac:dyDescent="0.25">
      <c r="A202" s="73"/>
      <c r="B202" s="74"/>
      <c r="C202" s="75"/>
      <c r="D202" s="76"/>
      <c r="E202" s="76"/>
      <c r="F202" s="76"/>
    </row>
    <row r="203" spans="1:81" ht="13" x14ac:dyDescent="0.3">
      <c r="A203" s="73"/>
      <c r="B203" s="22" t="s">
        <v>381</v>
      </c>
      <c r="C203" s="22"/>
      <c r="D203" s="9" t="str">
        <f>A3</f>
        <v xml:space="preserve">                                                на  01  ноября  20 25 г.</v>
      </c>
      <c r="E203" s="77"/>
      <c r="F203" s="6"/>
    </row>
    <row r="205" spans="1:81" s="78" customFormat="1" x14ac:dyDescent="0.25">
      <c r="A205" s="26" t="s">
        <v>19</v>
      </c>
      <c r="B205" s="27" t="s">
        <v>20</v>
      </c>
      <c r="C205" s="28" t="s">
        <v>382</v>
      </c>
      <c r="D205" s="29" t="s">
        <v>22</v>
      </c>
      <c r="E205" s="28" t="s">
        <v>23</v>
      </c>
      <c r="F205" s="28" t="s">
        <v>24</v>
      </c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</row>
    <row r="206" spans="1:81" s="78" customFormat="1" x14ac:dyDescent="0.25">
      <c r="A206" s="26"/>
      <c r="B206" s="27"/>
      <c r="C206" s="28"/>
      <c r="D206" s="31"/>
      <c r="E206" s="28"/>
      <c r="F206" s="28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</row>
    <row r="207" spans="1:81" s="78" customFormat="1" x14ac:dyDescent="0.25">
      <c r="A207" s="26"/>
      <c r="B207" s="27"/>
      <c r="C207" s="28"/>
      <c r="D207" s="33"/>
      <c r="E207" s="28"/>
      <c r="F207" s="28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</row>
    <row r="208" spans="1:81" s="78" customFormat="1" x14ac:dyDescent="0.25">
      <c r="A208" s="79">
        <v>1</v>
      </c>
      <c r="B208" s="49" t="s">
        <v>25</v>
      </c>
      <c r="C208" s="49" t="s">
        <v>26</v>
      </c>
      <c r="D208" s="79">
        <v>4</v>
      </c>
      <c r="E208" s="79">
        <v>5</v>
      </c>
      <c r="F208" s="79">
        <v>6</v>
      </c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</row>
    <row r="209" spans="1:81" s="85" customFormat="1" ht="13" x14ac:dyDescent="0.3">
      <c r="A209" s="80" t="s">
        <v>383</v>
      </c>
      <c r="B209" s="81">
        <v>200</v>
      </c>
      <c r="C209" s="82" t="s">
        <v>384</v>
      </c>
      <c r="D209" s="83">
        <f>D211+D352</f>
        <v>741975450.09000015</v>
      </c>
      <c r="E209" s="83">
        <f>E211+E352</f>
        <v>606321984.22000003</v>
      </c>
      <c r="F209" s="84">
        <f>D209-E209</f>
        <v>135653465.87000012</v>
      </c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</row>
    <row r="210" spans="1:81" ht="14" x14ac:dyDescent="0.25">
      <c r="A210" s="86" t="s">
        <v>121</v>
      </c>
      <c r="B210" s="87"/>
      <c r="C210" s="88"/>
      <c r="D210" s="89"/>
      <c r="E210" s="89"/>
      <c r="F210" s="90"/>
    </row>
    <row r="211" spans="1:81" ht="13" x14ac:dyDescent="0.3">
      <c r="A211" s="91" t="s">
        <v>385</v>
      </c>
      <c r="B211" s="92" t="s">
        <v>386</v>
      </c>
      <c r="C211" s="93" t="s">
        <v>387</v>
      </c>
      <c r="D211" s="94">
        <f>D212+D312</f>
        <v>125045727</v>
      </c>
      <c r="E211" s="94">
        <f>E212+E312</f>
        <v>102482865.58</v>
      </c>
      <c r="F211" s="95">
        <f t="shared" ref="F211:F311" si="4">D211-E211</f>
        <v>22562861.420000002</v>
      </c>
    </row>
    <row r="212" spans="1:81" ht="13" x14ac:dyDescent="0.3">
      <c r="A212" s="96" t="s">
        <v>388</v>
      </c>
      <c r="B212" s="92" t="s">
        <v>386</v>
      </c>
      <c r="C212" s="97" t="s">
        <v>389</v>
      </c>
      <c r="D212" s="94">
        <f>D213+D234+D255+D268+D281+D303</f>
        <v>91082027</v>
      </c>
      <c r="E212" s="94">
        <f>E213+E234+E255+E268+E281+E303</f>
        <v>75572235.700000003</v>
      </c>
      <c r="F212" s="95">
        <f t="shared" si="4"/>
        <v>15509791.299999997</v>
      </c>
    </row>
    <row r="213" spans="1:81" ht="28" customHeight="1" x14ac:dyDescent="0.3">
      <c r="A213" s="98" t="s">
        <v>390</v>
      </c>
      <c r="B213" s="92" t="s">
        <v>386</v>
      </c>
      <c r="C213" s="99" t="s">
        <v>391</v>
      </c>
      <c r="D213" s="94">
        <f>D214+D217+D221</f>
        <v>148140</v>
      </c>
      <c r="E213" s="94">
        <f>E214+E217+E221</f>
        <v>148140</v>
      </c>
      <c r="F213" s="95">
        <f t="shared" si="4"/>
        <v>0</v>
      </c>
    </row>
    <row r="214" spans="1:81" ht="57.5" x14ac:dyDescent="0.3">
      <c r="A214" s="100" t="s">
        <v>392</v>
      </c>
      <c r="B214" s="92" t="s">
        <v>386</v>
      </c>
      <c r="C214" s="99" t="s">
        <v>393</v>
      </c>
      <c r="D214" s="94">
        <f>D215</f>
        <v>7000</v>
      </c>
      <c r="E214" s="94">
        <f>E215</f>
        <v>7000</v>
      </c>
      <c r="F214" s="95">
        <f t="shared" si="4"/>
        <v>0</v>
      </c>
    </row>
    <row r="215" spans="1:81" ht="34.5" x14ac:dyDescent="0.25">
      <c r="A215" s="101" t="s">
        <v>394</v>
      </c>
      <c r="B215" s="92"/>
      <c r="C215" s="102" t="s">
        <v>395</v>
      </c>
      <c r="D215" s="103">
        <f>SUM(D216:D216)</f>
        <v>7000</v>
      </c>
      <c r="E215" s="103">
        <f>SUM(E216:E216)</f>
        <v>7000</v>
      </c>
      <c r="F215" s="104">
        <f t="shared" si="4"/>
        <v>0</v>
      </c>
    </row>
    <row r="216" spans="1:81" x14ac:dyDescent="0.25">
      <c r="A216" s="101" t="s">
        <v>396</v>
      </c>
      <c r="B216" s="105" t="s">
        <v>386</v>
      </c>
      <c r="C216" s="102" t="s">
        <v>397</v>
      </c>
      <c r="D216" s="103">
        <v>7000</v>
      </c>
      <c r="E216" s="103">
        <v>7000</v>
      </c>
      <c r="F216" s="104">
        <f t="shared" si="4"/>
        <v>0</v>
      </c>
    </row>
    <row r="217" spans="1:81" ht="84" customHeight="1" x14ac:dyDescent="0.3">
      <c r="A217" s="100" t="s">
        <v>398</v>
      </c>
      <c r="B217" s="92" t="s">
        <v>386</v>
      </c>
      <c r="C217" s="99" t="s">
        <v>399</v>
      </c>
      <c r="D217" s="94">
        <f t="shared" ref="D217:E219" si="5">D218</f>
        <v>71370</v>
      </c>
      <c r="E217" s="94">
        <f t="shared" si="5"/>
        <v>71370</v>
      </c>
      <c r="F217" s="95">
        <f t="shared" si="4"/>
        <v>0</v>
      </c>
    </row>
    <row r="218" spans="1:81" ht="34.5" x14ac:dyDescent="0.25">
      <c r="A218" s="101" t="s">
        <v>400</v>
      </c>
      <c r="B218" s="106" t="s">
        <v>386</v>
      </c>
      <c r="C218" s="102" t="s">
        <v>401</v>
      </c>
      <c r="D218" s="103">
        <f t="shared" si="5"/>
        <v>71370</v>
      </c>
      <c r="E218" s="103">
        <f t="shared" si="5"/>
        <v>71370</v>
      </c>
      <c r="F218" s="104">
        <f t="shared" si="4"/>
        <v>0</v>
      </c>
    </row>
    <row r="219" spans="1:81" x14ac:dyDescent="0.25">
      <c r="A219" s="101" t="s">
        <v>402</v>
      </c>
      <c r="B219" s="106" t="s">
        <v>386</v>
      </c>
      <c r="C219" s="102" t="s">
        <v>403</v>
      </c>
      <c r="D219" s="103">
        <f t="shared" si="5"/>
        <v>71370</v>
      </c>
      <c r="E219" s="103">
        <f t="shared" si="5"/>
        <v>71370</v>
      </c>
      <c r="F219" s="104">
        <f t="shared" si="4"/>
        <v>0</v>
      </c>
    </row>
    <row r="220" spans="1:81" ht="23" x14ac:dyDescent="0.25">
      <c r="A220" s="107" t="s">
        <v>404</v>
      </c>
      <c r="B220" s="105" t="s">
        <v>386</v>
      </c>
      <c r="C220" s="102" t="s">
        <v>405</v>
      </c>
      <c r="D220" s="103">
        <v>71370</v>
      </c>
      <c r="E220" s="103">
        <v>71370</v>
      </c>
      <c r="F220" s="104">
        <f t="shared" si="4"/>
        <v>0</v>
      </c>
    </row>
    <row r="221" spans="1:81" ht="84" customHeight="1" x14ac:dyDescent="0.3">
      <c r="A221" s="100" t="s">
        <v>398</v>
      </c>
      <c r="B221" s="92" t="s">
        <v>386</v>
      </c>
      <c r="C221" s="99" t="s">
        <v>406</v>
      </c>
      <c r="D221" s="94">
        <f t="shared" ref="D221:E223" si="6">D222</f>
        <v>69770</v>
      </c>
      <c r="E221" s="94">
        <f t="shared" si="6"/>
        <v>69770</v>
      </c>
      <c r="F221" s="95">
        <f t="shared" si="4"/>
        <v>0</v>
      </c>
    </row>
    <row r="222" spans="1:81" ht="34.5" x14ac:dyDescent="0.25">
      <c r="A222" s="101" t="s">
        <v>400</v>
      </c>
      <c r="B222" s="106" t="s">
        <v>386</v>
      </c>
      <c r="C222" s="102" t="s">
        <v>407</v>
      </c>
      <c r="D222" s="103">
        <f t="shared" si="6"/>
        <v>69770</v>
      </c>
      <c r="E222" s="103">
        <f t="shared" si="6"/>
        <v>69770</v>
      </c>
      <c r="F222" s="104">
        <f t="shared" si="4"/>
        <v>0</v>
      </c>
    </row>
    <row r="223" spans="1:81" x14ac:dyDescent="0.25">
      <c r="A223" s="101" t="s">
        <v>402</v>
      </c>
      <c r="B223" s="106" t="s">
        <v>386</v>
      </c>
      <c r="C223" s="102" t="s">
        <v>408</v>
      </c>
      <c r="D223" s="103">
        <f t="shared" si="6"/>
        <v>69770</v>
      </c>
      <c r="E223" s="103">
        <f t="shared" si="6"/>
        <v>69770</v>
      </c>
      <c r="F223" s="104">
        <f>D223-E223</f>
        <v>0</v>
      </c>
    </row>
    <row r="224" spans="1:81" ht="23" x14ac:dyDescent="0.25">
      <c r="A224" s="107" t="s">
        <v>404</v>
      </c>
      <c r="B224" s="105" t="s">
        <v>386</v>
      </c>
      <c r="C224" s="102" t="s">
        <v>409</v>
      </c>
      <c r="D224" s="103">
        <f>D229+D233</f>
        <v>69770</v>
      </c>
      <c r="E224" s="103">
        <f>E229+E233</f>
        <v>69770</v>
      </c>
      <c r="F224" s="104">
        <f t="shared" si="4"/>
        <v>0</v>
      </c>
    </row>
    <row r="225" spans="1:6" ht="13" x14ac:dyDescent="0.25">
      <c r="A225" s="98" t="s">
        <v>121</v>
      </c>
      <c r="B225" s="105"/>
      <c r="C225" s="102"/>
      <c r="D225" s="103"/>
      <c r="E225" s="103"/>
      <c r="F225" s="104"/>
    </row>
    <row r="226" spans="1:6" ht="13.5" x14ac:dyDescent="0.3">
      <c r="A226" s="108" t="s">
        <v>410</v>
      </c>
      <c r="B226" s="92" t="s">
        <v>386</v>
      </c>
      <c r="C226" s="99" t="s">
        <v>406</v>
      </c>
      <c r="D226" s="94">
        <f t="shared" ref="D226:E228" si="7">D227</f>
        <v>21630</v>
      </c>
      <c r="E226" s="94">
        <f t="shared" si="7"/>
        <v>21630</v>
      </c>
      <c r="F226" s="95">
        <f t="shared" ref="F226:F233" si="8">D226-E226</f>
        <v>0</v>
      </c>
    </row>
    <row r="227" spans="1:6" ht="34.5" x14ac:dyDescent="0.25">
      <c r="A227" s="101" t="s">
        <v>400</v>
      </c>
      <c r="B227" s="106" t="s">
        <v>386</v>
      </c>
      <c r="C227" s="102" t="s">
        <v>407</v>
      </c>
      <c r="D227" s="103">
        <f t="shared" si="7"/>
        <v>21630</v>
      </c>
      <c r="E227" s="103">
        <f t="shared" si="7"/>
        <v>21630</v>
      </c>
      <c r="F227" s="104">
        <f t="shared" si="8"/>
        <v>0</v>
      </c>
    </row>
    <row r="228" spans="1:6" x14ac:dyDescent="0.25">
      <c r="A228" s="101" t="s">
        <v>402</v>
      </c>
      <c r="B228" s="106" t="s">
        <v>386</v>
      </c>
      <c r="C228" s="102" t="s">
        <v>408</v>
      </c>
      <c r="D228" s="103">
        <f t="shared" si="7"/>
        <v>21630</v>
      </c>
      <c r="E228" s="103">
        <f t="shared" si="7"/>
        <v>21630</v>
      </c>
      <c r="F228" s="104">
        <f t="shared" si="8"/>
        <v>0</v>
      </c>
    </row>
    <row r="229" spans="1:6" ht="23" x14ac:dyDescent="0.25">
      <c r="A229" s="107" t="s">
        <v>404</v>
      </c>
      <c r="B229" s="105" t="s">
        <v>386</v>
      </c>
      <c r="C229" s="102" t="s">
        <v>409</v>
      </c>
      <c r="D229" s="103">
        <v>21630</v>
      </c>
      <c r="E229" s="103">
        <v>21630</v>
      </c>
      <c r="F229" s="104">
        <f t="shared" si="8"/>
        <v>0</v>
      </c>
    </row>
    <row r="230" spans="1:6" ht="13.5" x14ac:dyDescent="0.3">
      <c r="A230" s="108" t="s">
        <v>411</v>
      </c>
      <c r="B230" s="92" t="s">
        <v>386</v>
      </c>
      <c r="C230" s="99" t="s">
        <v>406</v>
      </c>
      <c r="D230" s="94">
        <f t="shared" ref="D230:E232" si="9">D231</f>
        <v>48140</v>
      </c>
      <c r="E230" s="94">
        <f t="shared" si="9"/>
        <v>48140</v>
      </c>
      <c r="F230" s="95">
        <f t="shared" si="8"/>
        <v>0</v>
      </c>
    </row>
    <row r="231" spans="1:6" ht="34.5" x14ac:dyDescent="0.25">
      <c r="A231" s="101" t="s">
        <v>400</v>
      </c>
      <c r="B231" s="106" t="s">
        <v>386</v>
      </c>
      <c r="C231" s="102" t="s">
        <v>407</v>
      </c>
      <c r="D231" s="103">
        <f t="shared" si="9"/>
        <v>48140</v>
      </c>
      <c r="E231" s="103">
        <f t="shared" si="9"/>
        <v>48140</v>
      </c>
      <c r="F231" s="104">
        <f t="shared" si="8"/>
        <v>0</v>
      </c>
    </row>
    <row r="232" spans="1:6" x14ac:dyDescent="0.25">
      <c r="A232" s="101" t="s">
        <v>402</v>
      </c>
      <c r="B232" s="106" t="s">
        <v>386</v>
      </c>
      <c r="C232" s="102" t="s">
        <v>408</v>
      </c>
      <c r="D232" s="103">
        <f t="shared" si="9"/>
        <v>48140</v>
      </c>
      <c r="E232" s="103">
        <f t="shared" si="9"/>
        <v>48140</v>
      </c>
      <c r="F232" s="104">
        <f t="shared" si="8"/>
        <v>0</v>
      </c>
    </row>
    <row r="233" spans="1:6" ht="23" x14ac:dyDescent="0.25">
      <c r="A233" s="107" t="s">
        <v>404</v>
      </c>
      <c r="B233" s="105" t="s">
        <v>386</v>
      </c>
      <c r="C233" s="102" t="s">
        <v>409</v>
      </c>
      <c r="D233" s="103">
        <v>48140</v>
      </c>
      <c r="E233" s="103">
        <v>48140</v>
      </c>
      <c r="F233" s="104">
        <f t="shared" si="8"/>
        <v>0</v>
      </c>
    </row>
    <row r="234" spans="1:6" ht="39" x14ac:dyDescent="0.3">
      <c r="A234" s="98" t="s">
        <v>412</v>
      </c>
      <c r="B234" s="92" t="s">
        <v>386</v>
      </c>
      <c r="C234" s="99" t="s">
        <v>413</v>
      </c>
      <c r="D234" s="94">
        <f>D235+D243+D239+D247+D251</f>
        <v>50548432.659999996</v>
      </c>
      <c r="E234" s="94">
        <f>E235+E243+E239+E247+E251</f>
        <v>43196110.469999999</v>
      </c>
      <c r="F234" s="95">
        <f t="shared" si="4"/>
        <v>7352322.1899999976</v>
      </c>
    </row>
    <row r="235" spans="1:6" ht="70" customHeight="1" x14ac:dyDescent="0.3">
      <c r="A235" s="109" t="s">
        <v>414</v>
      </c>
      <c r="B235" s="92" t="s">
        <v>386</v>
      </c>
      <c r="C235" s="99" t="s">
        <v>415</v>
      </c>
      <c r="D235" s="94">
        <f t="shared" ref="D235:E237" si="10">D236</f>
        <v>31098862</v>
      </c>
      <c r="E235" s="94">
        <f t="shared" si="10"/>
        <v>27350000</v>
      </c>
      <c r="F235" s="95">
        <f t="shared" si="4"/>
        <v>3748862</v>
      </c>
    </row>
    <row r="236" spans="1:6" ht="34.5" x14ac:dyDescent="0.25">
      <c r="A236" s="101" t="s">
        <v>400</v>
      </c>
      <c r="B236" s="105" t="s">
        <v>386</v>
      </c>
      <c r="C236" s="102" t="s">
        <v>416</v>
      </c>
      <c r="D236" s="103">
        <f t="shared" si="10"/>
        <v>31098862</v>
      </c>
      <c r="E236" s="103">
        <f t="shared" si="10"/>
        <v>27350000</v>
      </c>
      <c r="F236" s="104">
        <f t="shared" si="4"/>
        <v>3748862</v>
      </c>
    </row>
    <row r="237" spans="1:6" x14ac:dyDescent="0.25">
      <c r="A237" s="101" t="s">
        <v>402</v>
      </c>
      <c r="B237" s="105" t="s">
        <v>386</v>
      </c>
      <c r="C237" s="102" t="s">
        <v>417</v>
      </c>
      <c r="D237" s="103">
        <f t="shared" si="10"/>
        <v>31098862</v>
      </c>
      <c r="E237" s="103">
        <f t="shared" si="10"/>
        <v>27350000</v>
      </c>
      <c r="F237" s="104">
        <f t="shared" si="4"/>
        <v>3748862</v>
      </c>
    </row>
    <row r="238" spans="1:6" ht="57.5" x14ac:dyDescent="0.25">
      <c r="A238" s="101" t="s">
        <v>418</v>
      </c>
      <c r="B238" s="105" t="s">
        <v>386</v>
      </c>
      <c r="C238" s="102" t="s">
        <v>419</v>
      </c>
      <c r="D238" s="103">
        <v>31098862</v>
      </c>
      <c r="E238" s="103">
        <v>27350000</v>
      </c>
      <c r="F238" s="104">
        <f t="shared" si="4"/>
        <v>3748862</v>
      </c>
    </row>
    <row r="239" spans="1:6" ht="57.5" x14ac:dyDescent="0.3">
      <c r="A239" s="100" t="s">
        <v>420</v>
      </c>
      <c r="B239" s="92" t="s">
        <v>386</v>
      </c>
      <c r="C239" s="99" t="s">
        <v>421</v>
      </c>
      <c r="D239" s="94">
        <f t="shared" ref="D239:E241" si="11">D240</f>
        <v>14728530</v>
      </c>
      <c r="E239" s="94">
        <f t="shared" si="11"/>
        <v>12724400</v>
      </c>
      <c r="F239" s="95">
        <f t="shared" si="4"/>
        <v>2004130</v>
      </c>
    </row>
    <row r="240" spans="1:6" ht="34.5" x14ac:dyDescent="0.25">
      <c r="A240" s="101" t="s">
        <v>400</v>
      </c>
      <c r="B240" s="105" t="s">
        <v>386</v>
      </c>
      <c r="C240" s="102" t="s">
        <v>422</v>
      </c>
      <c r="D240" s="103">
        <f t="shared" si="11"/>
        <v>14728530</v>
      </c>
      <c r="E240" s="103">
        <f t="shared" si="11"/>
        <v>12724400</v>
      </c>
      <c r="F240" s="104">
        <f t="shared" si="4"/>
        <v>2004130</v>
      </c>
    </row>
    <row r="241" spans="1:6" x14ac:dyDescent="0.25">
      <c r="A241" s="101" t="s">
        <v>402</v>
      </c>
      <c r="B241" s="105" t="s">
        <v>386</v>
      </c>
      <c r="C241" s="102" t="s">
        <v>423</v>
      </c>
      <c r="D241" s="103">
        <f t="shared" si="11"/>
        <v>14728530</v>
      </c>
      <c r="E241" s="103">
        <f t="shared" si="11"/>
        <v>12724400</v>
      </c>
      <c r="F241" s="104">
        <f t="shared" si="4"/>
        <v>2004130</v>
      </c>
    </row>
    <row r="242" spans="1:6" ht="57.5" x14ac:dyDescent="0.25">
      <c r="A242" s="101" t="s">
        <v>418</v>
      </c>
      <c r="B242" s="105" t="s">
        <v>386</v>
      </c>
      <c r="C242" s="102" t="s">
        <v>424</v>
      </c>
      <c r="D242" s="103">
        <v>14728530</v>
      </c>
      <c r="E242" s="103">
        <v>12724400</v>
      </c>
      <c r="F242" s="104">
        <f t="shared" si="4"/>
        <v>2004130</v>
      </c>
    </row>
    <row r="243" spans="1:6" ht="57.5" x14ac:dyDescent="0.3">
      <c r="A243" s="100" t="s">
        <v>425</v>
      </c>
      <c r="B243" s="105" t="s">
        <v>386</v>
      </c>
      <c r="C243" s="99" t="s">
        <v>426</v>
      </c>
      <c r="D243" s="94">
        <f t="shared" ref="D243:E245" si="12">D244</f>
        <v>2630000</v>
      </c>
      <c r="E243" s="94">
        <f t="shared" si="12"/>
        <v>2165669.81</v>
      </c>
      <c r="F243" s="95">
        <f t="shared" si="4"/>
        <v>464330.18999999994</v>
      </c>
    </row>
    <row r="244" spans="1:6" ht="34.5" x14ac:dyDescent="0.25">
      <c r="A244" s="101" t="s">
        <v>400</v>
      </c>
      <c r="B244" s="105" t="s">
        <v>386</v>
      </c>
      <c r="C244" s="102" t="s">
        <v>427</v>
      </c>
      <c r="D244" s="103">
        <f t="shared" si="12"/>
        <v>2630000</v>
      </c>
      <c r="E244" s="103">
        <f t="shared" si="12"/>
        <v>2165669.81</v>
      </c>
      <c r="F244" s="104">
        <f t="shared" si="4"/>
        <v>464330.18999999994</v>
      </c>
    </row>
    <row r="245" spans="1:6" x14ac:dyDescent="0.25">
      <c r="A245" s="101" t="s">
        <v>402</v>
      </c>
      <c r="B245" s="105" t="s">
        <v>386</v>
      </c>
      <c r="C245" s="102" t="s">
        <v>428</v>
      </c>
      <c r="D245" s="103">
        <f t="shared" si="12"/>
        <v>2630000</v>
      </c>
      <c r="E245" s="103">
        <f t="shared" si="12"/>
        <v>2165669.81</v>
      </c>
      <c r="F245" s="104">
        <f t="shared" si="4"/>
        <v>464330.18999999994</v>
      </c>
    </row>
    <row r="246" spans="1:6" ht="57.5" x14ac:dyDescent="0.25">
      <c r="A246" s="101" t="s">
        <v>418</v>
      </c>
      <c r="B246" s="105" t="s">
        <v>386</v>
      </c>
      <c r="C246" s="102" t="s">
        <v>429</v>
      </c>
      <c r="D246" s="103">
        <v>2630000</v>
      </c>
      <c r="E246" s="103">
        <v>2165669.81</v>
      </c>
      <c r="F246" s="104">
        <f t="shared" si="4"/>
        <v>464330.18999999994</v>
      </c>
    </row>
    <row r="247" spans="1:6" ht="57.5" x14ac:dyDescent="0.3">
      <c r="A247" s="109" t="s">
        <v>430</v>
      </c>
      <c r="B247" s="92" t="s">
        <v>386</v>
      </c>
      <c r="C247" s="99" t="s">
        <v>431</v>
      </c>
      <c r="D247" s="94">
        <f t="shared" ref="D247:E253" si="13">D248</f>
        <v>1887040.66</v>
      </c>
      <c r="E247" s="94">
        <f t="shared" si="13"/>
        <v>752040.66</v>
      </c>
      <c r="F247" s="95">
        <f t="shared" si="4"/>
        <v>1135000</v>
      </c>
    </row>
    <row r="248" spans="1:6" ht="34.5" x14ac:dyDescent="0.25">
      <c r="A248" s="107" t="s">
        <v>400</v>
      </c>
      <c r="B248" s="105" t="s">
        <v>386</v>
      </c>
      <c r="C248" s="102" t="s">
        <v>432</v>
      </c>
      <c r="D248" s="103">
        <f t="shared" si="13"/>
        <v>1887040.66</v>
      </c>
      <c r="E248" s="103">
        <f t="shared" si="13"/>
        <v>752040.66</v>
      </c>
      <c r="F248" s="104">
        <f t="shared" si="4"/>
        <v>1135000</v>
      </c>
    </row>
    <row r="249" spans="1:6" x14ac:dyDescent="0.25">
      <c r="A249" s="110" t="s">
        <v>402</v>
      </c>
      <c r="B249" s="105" t="s">
        <v>386</v>
      </c>
      <c r="C249" s="102" t="s">
        <v>433</v>
      </c>
      <c r="D249" s="103">
        <f t="shared" si="13"/>
        <v>1887040.66</v>
      </c>
      <c r="E249" s="103">
        <f t="shared" si="13"/>
        <v>752040.66</v>
      </c>
      <c r="F249" s="104">
        <f t="shared" si="4"/>
        <v>1135000</v>
      </c>
    </row>
    <row r="250" spans="1:6" ht="23" x14ac:dyDescent="0.25">
      <c r="A250" s="111" t="s">
        <v>404</v>
      </c>
      <c r="B250" s="105" t="s">
        <v>386</v>
      </c>
      <c r="C250" s="102" t="s">
        <v>434</v>
      </c>
      <c r="D250" s="103">
        <v>1887040.66</v>
      </c>
      <c r="E250" s="103">
        <v>752040.66</v>
      </c>
      <c r="F250" s="104">
        <f t="shared" si="4"/>
        <v>1135000</v>
      </c>
    </row>
    <row r="251" spans="1:6" ht="103.5" x14ac:dyDescent="0.3">
      <c r="A251" s="109" t="s">
        <v>435</v>
      </c>
      <c r="B251" s="92" t="s">
        <v>386</v>
      </c>
      <c r="C251" s="99" t="s">
        <v>436</v>
      </c>
      <c r="D251" s="94">
        <f t="shared" si="13"/>
        <v>204000</v>
      </c>
      <c r="E251" s="94">
        <f t="shared" si="13"/>
        <v>204000</v>
      </c>
      <c r="F251" s="95">
        <f>D251-E251</f>
        <v>0</v>
      </c>
    </row>
    <row r="252" spans="1:6" ht="34.5" x14ac:dyDescent="0.25">
      <c r="A252" s="107" t="s">
        <v>400</v>
      </c>
      <c r="B252" s="105" t="s">
        <v>386</v>
      </c>
      <c r="C252" s="102" t="s">
        <v>437</v>
      </c>
      <c r="D252" s="103">
        <f t="shared" si="13"/>
        <v>204000</v>
      </c>
      <c r="E252" s="103">
        <f t="shared" si="13"/>
        <v>204000</v>
      </c>
      <c r="F252" s="104">
        <f>D252-E252</f>
        <v>0</v>
      </c>
    </row>
    <row r="253" spans="1:6" x14ac:dyDescent="0.25">
      <c r="A253" s="110" t="s">
        <v>402</v>
      </c>
      <c r="B253" s="105" t="s">
        <v>386</v>
      </c>
      <c r="C253" s="102" t="s">
        <v>438</v>
      </c>
      <c r="D253" s="103">
        <f t="shared" si="13"/>
        <v>204000</v>
      </c>
      <c r="E253" s="103">
        <f t="shared" si="13"/>
        <v>204000</v>
      </c>
      <c r="F253" s="104">
        <f>D253-E253</f>
        <v>0</v>
      </c>
    </row>
    <row r="254" spans="1:6" ht="23" x14ac:dyDescent="0.25">
      <c r="A254" s="111" t="s">
        <v>404</v>
      </c>
      <c r="B254" s="105" t="s">
        <v>386</v>
      </c>
      <c r="C254" s="102" t="s">
        <v>439</v>
      </c>
      <c r="D254" s="103">
        <v>204000</v>
      </c>
      <c r="E254" s="103">
        <v>204000</v>
      </c>
      <c r="F254" s="104">
        <f>D254-E254</f>
        <v>0</v>
      </c>
    </row>
    <row r="255" spans="1:6" ht="13" x14ac:dyDescent="0.3">
      <c r="A255" s="100" t="s">
        <v>440</v>
      </c>
      <c r="B255" s="92" t="s">
        <v>386</v>
      </c>
      <c r="C255" s="99" t="s">
        <v>441</v>
      </c>
      <c r="D255" s="94">
        <f>D256+D260+D264</f>
        <v>11266559.34</v>
      </c>
      <c r="E255" s="94">
        <f>E256+E260+E264</f>
        <v>9485359.3399999999</v>
      </c>
      <c r="F255" s="95">
        <f t="shared" si="4"/>
        <v>1781200</v>
      </c>
    </row>
    <row r="256" spans="1:6" ht="60" customHeight="1" x14ac:dyDescent="0.3">
      <c r="A256" s="100" t="s">
        <v>442</v>
      </c>
      <c r="B256" s="92" t="s">
        <v>386</v>
      </c>
      <c r="C256" s="99" t="s">
        <v>443</v>
      </c>
      <c r="D256" s="94">
        <f t="shared" ref="D256:E258" si="14">D257</f>
        <v>6978647</v>
      </c>
      <c r="E256" s="94">
        <f t="shared" si="14"/>
        <v>5740400</v>
      </c>
      <c r="F256" s="95">
        <f t="shared" si="4"/>
        <v>1238247</v>
      </c>
    </row>
    <row r="257" spans="1:6" ht="34.5" x14ac:dyDescent="0.25">
      <c r="A257" s="112" t="s">
        <v>400</v>
      </c>
      <c r="B257" s="113" t="s">
        <v>386</v>
      </c>
      <c r="C257" s="114" t="s">
        <v>444</v>
      </c>
      <c r="D257" s="103">
        <f t="shared" si="14"/>
        <v>6978647</v>
      </c>
      <c r="E257" s="103">
        <f t="shared" si="14"/>
        <v>5740400</v>
      </c>
      <c r="F257" s="104">
        <f t="shared" si="4"/>
        <v>1238247</v>
      </c>
    </row>
    <row r="258" spans="1:6" x14ac:dyDescent="0.25">
      <c r="A258" s="112" t="s">
        <v>402</v>
      </c>
      <c r="B258" s="113" t="s">
        <v>386</v>
      </c>
      <c r="C258" s="114" t="s">
        <v>445</v>
      </c>
      <c r="D258" s="103">
        <f t="shared" si="14"/>
        <v>6978647</v>
      </c>
      <c r="E258" s="103">
        <f t="shared" si="14"/>
        <v>5740400</v>
      </c>
      <c r="F258" s="104">
        <f t="shared" si="4"/>
        <v>1238247</v>
      </c>
    </row>
    <row r="259" spans="1:6" ht="57.5" x14ac:dyDescent="0.25">
      <c r="A259" s="112" t="s">
        <v>418</v>
      </c>
      <c r="B259" s="113" t="s">
        <v>386</v>
      </c>
      <c r="C259" s="114" t="s">
        <v>446</v>
      </c>
      <c r="D259" s="115">
        <v>6978647</v>
      </c>
      <c r="E259" s="115">
        <v>5740400</v>
      </c>
      <c r="F259" s="104">
        <f t="shared" si="4"/>
        <v>1238247</v>
      </c>
    </row>
    <row r="260" spans="1:6" ht="37.5" customHeight="1" x14ac:dyDescent="0.3">
      <c r="A260" s="100" t="s">
        <v>447</v>
      </c>
      <c r="B260" s="92" t="s">
        <v>386</v>
      </c>
      <c r="C260" s="99" t="s">
        <v>448</v>
      </c>
      <c r="D260" s="94">
        <f t="shared" ref="D260:E262" si="15">D261</f>
        <v>3142953</v>
      </c>
      <c r="E260" s="94">
        <f t="shared" si="15"/>
        <v>2600000</v>
      </c>
      <c r="F260" s="95">
        <f t="shared" si="4"/>
        <v>542953</v>
      </c>
    </row>
    <row r="261" spans="1:6" ht="34.5" x14ac:dyDescent="0.25">
      <c r="A261" s="112" t="s">
        <v>400</v>
      </c>
      <c r="B261" s="113" t="s">
        <v>386</v>
      </c>
      <c r="C261" s="116" t="s">
        <v>449</v>
      </c>
      <c r="D261" s="103">
        <f t="shared" si="15"/>
        <v>3142953</v>
      </c>
      <c r="E261" s="103">
        <f t="shared" si="15"/>
        <v>2600000</v>
      </c>
      <c r="F261" s="104">
        <f t="shared" si="4"/>
        <v>542953</v>
      </c>
    </row>
    <row r="262" spans="1:6" x14ac:dyDescent="0.25">
      <c r="A262" s="112" t="s">
        <v>402</v>
      </c>
      <c r="B262" s="113" t="s">
        <v>386</v>
      </c>
      <c r="C262" s="114" t="s">
        <v>450</v>
      </c>
      <c r="D262" s="103">
        <f t="shared" si="15"/>
        <v>3142953</v>
      </c>
      <c r="E262" s="103">
        <f t="shared" si="15"/>
        <v>2600000</v>
      </c>
      <c r="F262" s="104">
        <f t="shared" si="4"/>
        <v>542953</v>
      </c>
    </row>
    <row r="263" spans="1:6" ht="57.5" x14ac:dyDescent="0.25">
      <c r="A263" s="112" t="s">
        <v>418</v>
      </c>
      <c r="B263" s="113" t="s">
        <v>386</v>
      </c>
      <c r="C263" s="114" t="s">
        <v>451</v>
      </c>
      <c r="D263" s="115">
        <v>3142953</v>
      </c>
      <c r="E263" s="115">
        <v>2600000</v>
      </c>
      <c r="F263" s="104">
        <f t="shared" si="4"/>
        <v>542953</v>
      </c>
    </row>
    <row r="264" spans="1:6" ht="34.5" x14ac:dyDescent="0.3">
      <c r="A264" s="100" t="s">
        <v>452</v>
      </c>
      <c r="B264" s="92" t="s">
        <v>386</v>
      </c>
      <c r="C264" s="99" t="s">
        <v>453</v>
      </c>
      <c r="D264" s="94">
        <f t="shared" ref="D264:E266" si="16">D265</f>
        <v>1144959.3400000001</v>
      </c>
      <c r="E264" s="94">
        <f t="shared" si="16"/>
        <v>1144959.3400000001</v>
      </c>
      <c r="F264" s="95">
        <f t="shared" si="4"/>
        <v>0</v>
      </c>
    </row>
    <row r="265" spans="1:6" ht="34.5" x14ac:dyDescent="0.25">
      <c r="A265" s="107" t="s">
        <v>400</v>
      </c>
      <c r="B265" s="105" t="s">
        <v>386</v>
      </c>
      <c r="C265" s="102" t="s">
        <v>454</v>
      </c>
      <c r="D265" s="103">
        <f t="shared" si="16"/>
        <v>1144959.3400000001</v>
      </c>
      <c r="E265" s="103">
        <f t="shared" si="16"/>
        <v>1144959.3400000001</v>
      </c>
      <c r="F265" s="104">
        <f t="shared" si="4"/>
        <v>0</v>
      </c>
    </row>
    <row r="266" spans="1:6" x14ac:dyDescent="0.25">
      <c r="A266" s="107" t="s">
        <v>402</v>
      </c>
      <c r="B266" s="105" t="s">
        <v>386</v>
      </c>
      <c r="C266" s="102" t="s">
        <v>455</v>
      </c>
      <c r="D266" s="103">
        <f t="shared" si="16"/>
        <v>1144959.3400000001</v>
      </c>
      <c r="E266" s="103">
        <f t="shared" si="16"/>
        <v>1144959.3400000001</v>
      </c>
      <c r="F266" s="104">
        <f t="shared" si="4"/>
        <v>0</v>
      </c>
    </row>
    <row r="267" spans="1:6" ht="23" x14ac:dyDescent="0.25">
      <c r="A267" s="107" t="s">
        <v>404</v>
      </c>
      <c r="B267" s="105" t="s">
        <v>386</v>
      </c>
      <c r="C267" s="102" t="s">
        <v>456</v>
      </c>
      <c r="D267" s="103">
        <v>1144959.3400000001</v>
      </c>
      <c r="E267" s="103">
        <v>1144959.3400000001</v>
      </c>
      <c r="F267" s="104">
        <f t="shared" si="4"/>
        <v>0</v>
      </c>
    </row>
    <row r="268" spans="1:6" ht="23" x14ac:dyDescent="0.3">
      <c r="A268" s="100" t="s">
        <v>457</v>
      </c>
      <c r="B268" s="92" t="s">
        <v>386</v>
      </c>
      <c r="C268" s="99" t="s">
        <v>458</v>
      </c>
      <c r="D268" s="94">
        <f>D269+D273+D277</f>
        <v>11128308</v>
      </c>
      <c r="E268" s="94">
        <f>E269+E273+E277</f>
        <v>8879800</v>
      </c>
      <c r="F268" s="95">
        <f t="shared" si="4"/>
        <v>2248508</v>
      </c>
    </row>
    <row r="269" spans="1:6" ht="80.5" x14ac:dyDescent="0.3">
      <c r="A269" s="100" t="s">
        <v>459</v>
      </c>
      <c r="B269" s="92" t="s">
        <v>386</v>
      </c>
      <c r="C269" s="99" t="s">
        <v>460</v>
      </c>
      <c r="D269" s="94">
        <f t="shared" ref="D269:E271" si="17">D270</f>
        <v>7014600</v>
      </c>
      <c r="E269" s="94">
        <f t="shared" si="17"/>
        <v>5810000</v>
      </c>
      <c r="F269" s="95">
        <f t="shared" si="4"/>
        <v>1204600</v>
      </c>
    </row>
    <row r="270" spans="1:6" ht="34.5" x14ac:dyDescent="0.25">
      <c r="A270" s="101" t="s">
        <v>400</v>
      </c>
      <c r="B270" s="113" t="s">
        <v>386</v>
      </c>
      <c r="C270" s="114" t="s">
        <v>461</v>
      </c>
      <c r="D270" s="103">
        <f t="shared" si="17"/>
        <v>7014600</v>
      </c>
      <c r="E270" s="103">
        <f t="shared" si="17"/>
        <v>5810000</v>
      </c>
      <c r="F270" s="104">
        <f t="shared" si="4"/>
        <v>1204600</v>
      </c>
    </row>
    <row r="271" spans="1:6" x14ac:dyDescent="0.25">
      <c r="A271" s="112" t="s">
        <v>402</v>
      </c>
      <c r="B271" s="113" t="s">
        <v>386</v>
      </c>
      <c r="C271" s="114" t="s">
        <v>462</v>
      </c>
      <c r="D271" s="103">
        <f t="shared" si="17"/>
        <v>7014600</v>
      </c>
      <c r="E271" s="103">
        <f t="shared" si="17"/>
        <v>5810000</v>
      </c>
      <c r="F271" s="104">
        <f t="shared" si="4"/>
        <v>1204600</v>
      </c>
    </row>
    <row r="272" spans="1:6" ht="57.5" x14ac:dyDescent="0.25">
      <c r="A272" s="112" t="s">
        <v>418</v>
      </c>
      <c r="B272" s="113" t="s">
        <v>386</v>
      </c>
      <c r="C272" s="114" t="s">
        <v>463</v>
      </c>
      <c r="D272" s="115">
        <v>7014600</v>
      </c>
      <c r="E272" s="115">
        <v>5810000</v>
      </c>
      <c r="F272" s="104">
        <f t="shared" si="4"/>
        <v>1204600</v>
      </c>
    </row>
    <row r="273" spans="1:6" ht="46" x14ac:dyDescent="0.3">
      <c r="A273" s="100" t="s">
        <v>464</v>
      </c>
      <c r="B273" s="92" t="s">
        <v>386</v>
      </c>
      <c r="C273" s="99" t="s">
        <v>465</v>
      </c>
      <c r="D273" s="94">
        <f t="shared" ref="D273:E275" si="18">D274</f>
        <v>3813908</v>
      </c>
      <c r="E273" s="94">
        <f t="shared" si="18"/>
        <v>2770000</v>
      </c>
      <c r="F273" s="95">
        <f t="shared" si="4"/>
        <v>1043908</v>
      </c>
    </row>
    <row r="274" spans="1:6" ht="34.5" x14ac:dyDescent="0.25">
      <c r="A274" s="101" t="s">
        <v>400</v>
      </c>
      <c r="B274" s="113" t="s">
        <v>386</v>
      </c>
      <c r="C274" s="116" t="s">
        <v>466</v>
      </c>
      <c r="D274" s="103">
        <f t="shared" si="18"/>
        <v>3813908</v>
      </c>
      <c r="E274" s="103">
        <f t="shared" si="18"/>
        <v>2770000</v>
      </c>
      <c r="F274" s="104">
        <f t="shared" si="4"/>
        <v>1043908</v>
      </c>
    </row>
    <row r="275" spans="1:6" x14ac:dyDescent="0.25">
      <c r="A275" s="112" t="s">
        <v>402</v>
      </c>
      <c r="B275" s="113" t="s">
        <v>386</v>
      </c>
      <c r="C275" s="114" t="s">
        <v>467</v>
      </c>
      <c r="D275" s="103">
        <f t="shared" si="18"/>
        <v>3813908</v>
      </c>
      <c r="E275" s="103">
        <f t="shared" si="18"/>
        <v>2770000</v>
      </c>
      <c r="F275" s="104">
        <f t="shared" si="4"/>
        <v>1043908</v>
      </c>
    </row>
    <row r="276" spans="1:6" ht="57.5" x14ac:dyDescent="0.25">
      <c r="A276" s="112" t="s">
        <v>418</v>
      </c>
      <c r="B276" s="113" t="s">
        <v>386</v>
      </c>
      <c r="C276" s="114" t="s">
        <v>468</v>
      </c>
      <c r="D276" s="115">
        <v>3813908</v>
      </c>
      <c r="E276" s="115">
        <v>2770000</v>
      </c>
      <c r="F276" s="104">
        <f t="shared" si="4"/>
        <v>1043908</v>
      </c>
    </row>
    <row r="277" spans="1:6" ht="57.5" x14ac:dyDescent="0.3">
      <c r="A277" s="100" t="s">
        <v>469</v>
      </c>
      <c r="B277" s="92" t="s">
        <v>386</v>
      </c>
      <c r="C277" s="99" t="s">
        <v>470</v>
      </c>
      <c r="D277" s="94">
        <f t="shared" ref="D277:E279" si="19">D278</f>
        <v>299800</v>
      </c>
      <c r="E277" s="94">
        <f t="shared" si="19"/>
        <v>299800</v>
      </c>
      <c r="F277" s="95">
        <f t="shared" si="4"/>
        <v>0</v>
      </c>
    </row>
    <row r="278" spans="1:6" ht="34.5" x14ac:dyDescent="0.25">
      <c r="A278" s="107" t="s">
        <v>400</v>
      </c>
      <c r="B278" s="105" t="s">
        <v>386</v>
      </c>
      <c r="C278" s="102" t="s">
        <v>471</v>
      </c>
      <c r="D278" s="103">
        <f t="shared" si="19"/>
        <v>299800</v>
      </c>
      <c r="E278" s="103">
        <f t="shared" si="19"/>
        <v>299800</v>
      </c>
      <c r="F278" s="104">
        <f t="shared" si="4"/>
        <v>0</v>
      </c>
    </row>
    <row r="279" spans="1:6" x14ac:dyDescent="0.25">
      <c r="A279" s="107" t="s">
        <v>402</v>
      </c>
      <c r="B279" s="105" t="s">
        <v>386</v>
      </c>
      <c r="C279" s="102" t="s">
        <v>472</v>
      </c>
      <c r="D279" s="103">
        <f t="shared" si="19"/>
        <v>299800</v>
      </c>
      <c r="E279" s="103">
        <f t="shared" si="19"/>
        <v>299800</v>
      </c>
      <c r="F279" s="104">
        <f t="shared" si="4"/>
        <v>0</v>
      </c>
    </row>
    <row r="280" spans="1:6" ht="23" x14ac:dyDescent="0.25">
      <c r="A280" s="107" t="s">
        <v>404</v>
      </c>
      <c r="B280" s="105" t="s">
        <v>386</v>
      </c>
      <c r="C280" s="102" t="s">
        <v>473</v>
      </c>
      <c r="D280" s="103">
        <v>299800</v>
      </c>
      <c r="E280" s="103">
        <v>299800</v>
      </c>
      <c r="F280" s="104">
        <f t="shared" si="4"/>
        <v>0</v>
      </c>
    </row>
    <row r="281" spans="1:6" ht="13" x14ac:dyDescent="0.3">
      <c r="A281" s="98" t="s">
        <v>474</v>
      </c>
      <c r="B281" s="92" t="s">
        <v>386</v>
      </c>
      <c r="C281" s="99" t="s">
        <v>475</v>
      </c>
      <c r="D281" s="94">
        <f>D282+D298</f>
        <v>10681987</v>
      </c>
      <c r="E281" s="94">
        <f>E282+E298</f>
        <v>7760675.8899999987</v>
      </c>
      <c r="F281" s="95">
        <f t="shared" si="4"/>
        <v>2921311.1100000013</v>
      </c>
    </row>
    <row r="282" spans="1:6" ht="120.5" customHeight="1" x14ac:dyDescent="0.3">
      <c r="A282" s="100" t="s">
        <v>476</v>
      </c>
      <c r="B282" s="92" t="s">
        <v>386</v>
      </c>
      <c r="C282" s="99" t="s">
        <v>477</v>
      </c>
      <c r="D282" s="94">
        <f>D283+D288+D293</f>
        <v>7913327.9999999991</v>
      </c>
      <c r="E282" s="94">
        <f>E283+E288+E293</f>
        <v>5430675.8899999987</v>
      </c>
      <c r="F282" s="95">
        <f t="shared" si="4"/>
        <v>2482652.1100000003</v>
      </c>
    </row>
    <row r="283" spans="1:6" ht="69" x14ac:dyDescent="0.25">
      <c r="A283" s="101" t="s">
        <v>478</v>
      </c>
      <c r="B283" s="105" t="s">
        <v>386</v>
      </c>
      <c r="C283" s="102" t="s">
        <v>479</v>
      </c>
      <c r="D283" s="103">
        <f>D284</f>
        <v>6402196.2999999998</v>
      </c>
      <c r="E283" s="103">
        <f>E284</f>
        <v>4582157.1999999993</v>
      </c>
      <c r="F283" s="104">
        <f t="shared" si="4"/>
        <v>1820039.1000000006</v>
      </c>
    </row>
    <row r="284" spans="1:6" ht="23" x14ac:dyDescent="0.25">
      <c r="A284" s="101" t="s">
        <v>480</v>
      </c>
      <c r="B284" s="105" t="s">
        <v>386</v>
      </c>
      <c r="C284" s="102" t="s">
        <v>481</v>
      </c>
      <c r="D284" s="103">
        <f>SUM(D285:D287)</f>
        <v>6402196.2999999998</v>
      </c>
      <c r="E284" s="103">
        <f>SUM(E285:E287)</f>
        <v>4582157.1999999993</v>
      </c>
      <c r="F284" s="104">
        <f t="shared" si="4"/>
        <v>1820039.1000000006</v>
      </c>
    </row>
    <row r="285" spans="1:6" x14ac:dyDescent="0.25">
      <c r="A285" s="101" t="s">
        <v>482</v>
      </c>
      <c r="B285" s="105" t="s">
        <v>386</v>
      </c>
      <c r="C285" s="102" t="s">
        <v>483</v>
      </c>
      <c r="D285" s="103">
        <v>5067168</v>
      </c>
      <c r="E285" s="103">
        <v>3713227.69</v>
      </c>
      <c r="F285" s="104">
        <f t="shared" si="4"/>
        <v>1353940.31</v>
      </c>
    </row>
    <row r="286" spans="1:6" ht="23" x14ac:dyDescent="0.25">
      <c r="A286" s="101" t="s">
        <v>484</v>
      </c>
      <c r="B286" s="105" t="s">
        <v>386</v>
      </c>
      <c r="C286" s="102" t="s">
        <v>485</v>
      </c>
      <c r="D286" s="103">
        <v>59968.3</v>
      </c>
      <c r="E286" s="103">
        <v>59968.3</v>
      </c>
      <c r="F286" s="104">
        <f t="shared" si="4"/>
        <v>0</v>
      </c>
    </row>
    <row r="287" spans="1:6" ht="50" customHeight="1" x14ac:dyDescent="0.25">
      <c r="A287" s="101" t="s">
        <v>486</v>
      </c>
      <c r="B287" s="105" t="s">
        <v>386</v>
      </c>
      <c r="C287" s="102" t="s">
        <v>487</v>
      </c>
      <c r="D287" s="103">
        <v>1275060</v>
      </c>
      <c r="E287" s="103">
        <v>808961.21</v>
      </c>
      <c r="F287" s="104">
        <f t="shared" si="4"/>
        <v>466098.79000000004</v>
      </c>
    </row>
    <row r="288" spans="1:6" ht="23" x14ac:dyDescent="0.25">
      <c r="A288" s="101" t="s">
        <v>488</v>
      </c>
      <c r="B288" s="105" t="s">
        <v>386</v>
      </c>
      <c r="C288" s="102" t="s">
        <v>489</v>
      </c>
      <c r="D288" s="103">
        <f>D289</f>
        <v>1403988.31</v>
      </c>
      <c r="E288" s="103">
        <f>E289</f>
        <v>741994.3</v>
      </c>
      <c r="F288" s="104">
        <f t="shared" si="4"/>
        <v>661994.01</v>
      </c>
    </row>
    <row r="289" spans="1:6" ht="34.5" x14ac:dyDescent="0.25">
      <c r="A289" s="101" t="s">
        <v>394</v>
      </c>
      <c r="B289" s="105" t="s">
        <v>386</v>
      </c>
      <c r="C289" s="102" t="s">
        <v>490</v>
      </c>
      <c r="D289" s="103">
        <f>SUM(D290:D292)</f>
        <v>1403988.31</v>
      </c>
      <c r="E289" s="103">
        <f>SUM(E290:E292)</f>
        <v>741994.3</v>
      </c>
      <c r="F289" s="104">
        <f t="shared" si="4"/>
        <v>661994.01</v>
      </c>
    </row>
    <row r="290" spans="1:6" ht="34.5" x14ac:dyDescent="0.25">
      <c r="A290" s="101" t="s">
        <v>491</v>
      </c>
      <c r="B290" s="105" t="s">
        <v>386</v>
      </c>
      <c r="C290" s="102" t="s">
        <v>492</v>
      </c>
      <c r="D290" s="103">
        <v>118698</v>
      </c>
      <c r="E290" s="103">
        <v>103327.5</v>
      </c>
      <c r="F290" s="104">
        <f t="shared" si="4"/>
        <v>15370.5</v>
      </c>
    </row>
    <row r="291" spans="1:6" x14ac:dyDescent="0.25">
      <c r="A291" s="101" t="s">
        <v>396</v>
      </c>
      <c r="B291" s="105" t="s">
        <v>386</v>
      </c>
      <c r="C291" s="102" t="s">
        <v>493</v>
      </c>
      <c r="D291" s="103">
        <v>706888.31</v>
      </c>
      <c r="E291" s="103">
        <v>272660.74</v>
      </c>
      <c r="F291" s="104">
        <f>D291-E291</f>
        <v>434227.57000000007</v>
      </c>
    </row>
    <row r="292" spans="1:6" x14ac:dyDescent="0.25">
      <c r="A292" s="101" t="s">
        <v>494</v>
      </c>
      <c r="B292" s="105" t="s">
        <v>386</v>
      </c>
      <c r="C292" s="102" t="s">
        <v>495</v>
      </c>
      <c r="D292" s="103">
        <v>578402</v>
      </c>
      <c r="E292" s="103">
        <v>366006.06</v>
      </c>
      <c r="F292" s="104">
        <f t="shared" si="4"/>
        <v>212395.94</v>
      </c>
    </row>
    <row r="293" spans="1:6" x14ac:dyDescent="0.25">
      <c r="A293" s="101" t="s">
        <v>496</v>
      </c>
      <c r="B293" s="105" t="s">
        <v>386</v>
      </c>
      <c r="C293" s="102" t="s">
        <v>497</v>
      </c>
      <c r="D293" s="103">
        <f>D294</f>
        <v>107143.39</v>
      </c>
      <c r="E293" s="103">
        <f>E294</f>
        <v>106524.39</v>
      </c>
      <c r="F293" s="104">
        <f t="shared" si="4"/>
        <v>619</v>
      </c>
    </row>
    <row r="294" spans="1:6" x14ac:dyDescent="0.25">
      <c r="A294" s="101" t="s">
        <v>498</v>
      </c>
      <c r="B294" s="92" t="s">
        <v>386</v>
      </c>
      <c r="C294" s="102" t="s">
        <v>499</v>
      </c>
      <c r="D294" s="103">
        <f>SUM(D295:D297)</f>
        <v>107143.39</v>
      </c>
      <c r="E294" s="103">
        <f>SUM(E295:E297)</f>
        <v>106524.39</v>
      </c>
      <c r="F294" s="104">
        <f t="shared" si="4"/>
        <v>619</v>
      </c>
    </row>
    <row r="295" spans="1:6" ht="23" x14ac:dyDescent="0.25">
      <c r="A295" s="101" t="s">
        <v>500</v>
      </c>
      <c r="B295" s="105" t="s">
        <v>386</v>
      </c>
      <c r="C295" s="102" t="s">
        <v>501</v>
      </c>
      <c r="D295" s="103">
        <v>106962</v>
      </c>
      <c r="E295" s="103">
        <v>106343</v>
      </c>
      <c r="F295" s="104">
        <f>D295-E295</f>
        <v>619</v>
      </c>
    </row>
    <row r="296" spans="1:6" hidden="1" x14ac:dyDescent="0.25">
      <c r="A296" s="101" t="s">
        <v>502</v>
      </c>
      <c r="B296" s="105" t="s">
        <v>386</v>
      </c>
      <c r="C296" s="102" t="s">
        <v>503</v>
      </c>
      <c r="D296" s="103"/>
      <c r="E296" s="103"/>
      <c r="F296" s="104">
        <f t="shared" si="4"/>
        <v>0</v>
      </c>
    </row>
    <row r="297" spans="1:6" x14ac:dyDescent="0.25">
      <c r="A297" s="101" t="s">
        <v>504</v>
      </c>
      <c r="B297" s="105" t="s">
        <v>386</v>
      </c>
      <c r="C297" s="102" t="s">
        <v>505</v>
      </c>
      <c r="D297" s="103">
        <v>181.39</v>
      </c>
      <c r="E297" s="103">
        <v>181.39</v>
      </c>
      <c r="F297" s="104">
        <f t="shared" si="4"/>
        <v>0</v>
      </c>
    </row>
    <row r="298" spans="1:6" ht="46" x14ac:dyDescent="0.3">
      <c r="A298" s="100" t="s">
        <v>506</v>
      </c>
      <c r="B298" s="92" t="s">
        <v>386</v>
      </c>
      <c r="C298" s="99" t="s">
        <v>507</v>
      </c>
      <c r="D298" s="94">
        <f>D299</f>
        <v>2768659</v>
      </c>
      <c r="E298" s="94">
        <f>E299</f>
        <v>2330000</v>
      </c>
      <c r="F298" s="95">
        <f t="shared" si="4"/>
        <v>438659</v>
      </c>
    </row>
    <row r="299" spans="1:6" ht="69" x14ac:dyDescent="0.25">
      <c r="A299" s="101" t="s">
        <v>478</v>
      </c>
      <c r="B299" s="105" t="s">
        <v>386</v>
      </c>
      <c r="C299" s="102" t="s">
        <v>508</v>
      </c>
      <c r="D299" s="103">
        <f>D300</f>
        <v>2768659</v>
      </c>
      <c r="E299" s="103">
        <f>E300</f>
        <v>2330000</v>
      </c>
      <c r="F299" s="104">
        <f t="shared" si="4"/>
        <v>438659</v>
      </c>
    </row>
    <row r="300" spans="1:6" ht="23" x14ac:dyDescent="0.25">
      <c r="A300" s="101" t="s">
        <v>480</v>
      </c>
      <c r="B300" s="105" t="s">
        <v>386</v>
      </c>
      <c r="C300" s="102" t="s">
        <v>509</v>
      </c>
      <c r="D300" s="103">
        <f>SUM(D301:D302)</f>
        <v>2768659</v>
      </c>
      <c r="E300" s="103">
        <f>SUM(E301:E302)</f>
        <v>2330000</v>
      </c>
      <c r="F300" s="104">
        <f t="shared" si="4"/>
        <v>438659</v>
      </c>
    </row>
    <row r="301" spans="1:6" x14ac:dyDescent="0.25">
      <c r="A301" s="101" t="s">
        <v>482</v>
      </c>
      <c r="B301" s="105" t="s">
        <v>386</v>
      </c>
      <c r="C301" s="102" t="s">
        <v>510</v>
      </c>
      <c r="D301" s="103">
        <v>1986204</v>
      </c>
      <c r="E301" s="103">
        <v>1630000</v>
      </c>
      <c r="F301" s="104">
        <f t="shared" si="4"/>
        <v>356204</v>
      </c>
    </row>
    <row r="302" spans="1:6" ht="47.5" customHeight="1" x14ac:dyDescent="0.25">
      <c r="A302" s="101" t="s">
        <v>486</v>
      </c>
      <c r="B302" s="105" t="s">
        <v>386</v>
      </c>
      <c r="C302" s="102" t="s">
        <v>511</v>
      </c>
      <c r="D302" s="103">
        <v>782455</v>
      </c>
      <c r="E302" s="103">
        <v>700000</v>
      </c>
      <c r="F302" s="104">
        <f t="shared" si="4"/>
        <v>82455</v>
      </c>
    </row>
    <row r="303" spans="1:6" ht="52" x14ac:dyDescent="0.3">
      <c r="A303" s="98" t="s">
        <v>512</v>
      </c>
      <c r="B303" s="92" t="s">
        <v>386</v>
      </c>
      <c r="C303" s="99" t="s">
        <v>513</v>
      </c>
      <c r="D303" s="94">
        <f>D304+D308</f>
        <v>7308600</v>
      </c>
      <c r="E303" s="94">
        <f>E304+E308</f>
        <v>6102150</v>
      </c>
      <c r="F303" s="95">
        <f t="shared" si="4"/>
        <v>1206450</v>
      </c>
    </row>
    <row r="304" spans="1:6" ht="95" customHeight="1" x14ac:dyDescent="0.3">
      <c r="A304" s="100" t="s">
        <v>514</v>
      </c>
      <c r="B304" s="92" t="s">
        <v>386</v>
      </c>
      <c r="C304" s="99" t="s">
        <v>515</v>
      </c>
      <c r="D304" s="94">
        <f t="shared" ref="D304:E306" si="20">D305</f>
        <v>4583340</v>
      </c>
      <c r="E304" s="94">
        <f t="shared" si="20"/>
        <v>3877150</v>
      </c>
      <c r="F304" s="95">
        <f t="shared" si="4"/>
        <v>706190</v>
      </c>
    </row>
    <row r="305" spans="1:6" ht="34.5" x14ac:dyDescent="0.25">
      <c r="A305" s="101" t="s">
        <v>400</v>
      </c>
      <c r="B305" s="105" t="s">
        <v>386</v>
      </c>
      <c r="C305" s="102" t="s">
        <v>516</v>
      </c>
      <c r="D305" s="103">
        <f t="shared" si="20"/>
        <v>4583340</v>
      </c>
      <c r="E305" s="103">
        <f t="shared" si="20"/>
        <v>3877150</v>
      </c>
      <c r="F305" s="104">
        <f t="shared" si="4"/>
        <v>706190</v>
      </c>
    </row>
    <row r="306" spans="1:6" x14ac:dyDescent="0.25">
      <c r="A306" s="101" t="s">
        <v>402</v>
      </c>
      <c r="B306" s="92" t="s">
        <v>386</v>
      </c>
      <c r="C306" s="102" t="s">
        <v>517</v>
      </c>
      <c r="D306" s="103">
        <f t="shared" si="20"/>
        <v>4583340</v>
      </c>
      <c r="E306" s="103">
        <f t="shared" si="20"/>
        <v>3877150</v>
      </c>
      <c r="F306" s="104">
        <f t="shared" si="4"/>
        <v>706190</v>
      </c>
    </row>
    <row r="307" spans="1:6" ht="57.5" x14ac:dyDescent="0.25">
      <c r="A307" s="112" t="s">
        <v>418</v>
      </c>
      <c r="B307" s="106" t="s">
        <v>386</v>
      </c>
      <c r="C307" s="102" t="s">
        <v>518</v>
      </c>
      <c r="D307" s="103">
        <v>4583340</v>
      </c>
      <c r="E307" s="103">
        <v>3877150</v>
      </c>
      <c r="F307" s="104">
        <f t="shared" si="4"/>
        <v>706190</v>
      </c>
    </row>
    <row r="308" spans="1:6" ht="69" x14ac:dyDescent="0.3">
      <c r="A308" s="100" t="s">
        <v>519</v>
      </c>
      <c r="B308" s="92" t="s">
        <v>386</v>
      </c>
      <c r="C308" s="99" t="s">
        <v>520</v>
      </c>
      <c r="D308" s="94">
        <f t="shared" ref="D308:E310" si="21">D309</f>
        <v>2725260</v>
      </c>
      <c r="E308" s="94">
        <f t="shared" si="21"/>
        <v>2225000</v>
      </c>
      <c r="F308" s="95">
        <f t="shared" si="4"/>
        <v>500260</v>
      </c>
    </row>
    <row r="309" spans="1:6" ht="34.5" x14ac:dyDescent="0.25">
      <c r="A309" s="101" t="s">
        <v>400</v>
      </c>
      <c r="B309" s="105" t="s">
        <v>386</v>
      </c>
      <c r="C309" s="102" t="s">
        <v>521</v>
      </c>
      <c r="D309" s="103">
        <f t="shared" si="21"/>
        <v>2725260</v>
      </c>
      <c r="E309" s="103">
        <f t="shared" si="21"/>
        <v>2225000</v>
      </c>
      <c r="F309" s="104">
        <f t="shared" si="4"/>
        <v>500260</v>
      </c>
    </row>
    <row r="310" spans="1:6" x14ac:dyDescent="0.25">
      <c r="A310" s="101" t="s">
        <v>402</v>
      </c>
      <c r="B310" s="105" t="s">
        <v>386</v>
      </c>
      <c r="C310" s="102" t="s">
        <v>522</v>
      </c>
      <c r="D310" s="103">
        <f t="shared" si="21"/>
        <v>2725260</v>
      </c>
      <c r="E310" s="103">
        <f t="shared" si="21"/>
        <v>2225000</v>
      </c>
      <c r="F310" s="104">
        <f t="shared" si="4"/>
        <v>500260</v>
      </c>
    </row>
    <row r="311" spans="1:6" ht="57.5" x14ac:dyDescent="0.25">
      <c r="A311" s="101" t="s">
        <v>418</v>
      </c>
      <c r="B311" s="105" t="s">
        <v>386</v>
      </c>
      <c r="C311" s="102" t="s">
        <v>523</v>
      </c>
      <c r="D311" s="103">
        <v>2725260</v>
      </c>
      <c r="E311" s="103">
        <v>2225000</v>
      </c>
      <c r="F311" s="104">
        <f t="shared" si="4"/>
        <v>500260</v>
      </c>
    </row>
    <row r="312" spans="1:6" ht="23" x14ac:dyDescent="0.3">
      <c r="A312" s="100" t="s">
        <v>524</v>
      </c>
      <c r="B312" s="92" t="s">
        <v>386</v>
      </c>
      <c r="C312" s="97" t="s">
        <v>525</v>
      </c>
      <c r="D312" s="94">
        <f>D313+D329</f>
        <v>33963700</v>
      </c>
      <c r="E312" s="94">
        <f>E313+E329</f>
        <v>26910629.879999999</v>
      </c>
      <c r="F312" s="95">
        <f t="shared" ref="F312:F378" si="22">D312-E312</f>
        <v>7053070.120000001</v>
      </c>
    </row>
    <row r="313" spans="1:6" ht="46" x14ac:dyDescent="0.3">
      <c r="A313" s="100" t="s">
        <v>526</v>
      </c>
      <c r="B313" s="92" t="s">
        <v>386</v>
      </c>
      <c r="C313" s="99" t="s">
        <v>527</v>
      </c>
      <c r="D313" s="94">
        <f>D314</f>
        <v>10752200</v>
      </c>
      <c r="E313" s="94">
        <f>E314</f>
        <v>8593361.7300000004</v>
      </c>
      <c r="F313" s="95">
        <f>D313-E313</f>
        <v>2158838.2699999996</v>
      </c>
    </row>
    <row r="314" spans="1:6" ht="46" x14ac:dyDescent="0.3">
      <c r="A314" s="100" t="s">
        <v>528</v>
      </c>
      <c r="B314" s="92" t="s">
        <v>386</v>
      </c>
      <c r="C314" s="99" t="s">
        <v>529</v>
      </c>
      <c r="D314" s="94">
        <f>D315+D320+D325</f>
        <v>10752200</v>
      </c>
      <c r="E314" s="94">
        <f>E315+E320+E325</f>
        <v>8593361.7300000004</v>
      </c>
      <c r="F314" s="95">
        <f t="shared" si="22"/>
        <v>2158838.2699999996</v>
      </c>
    </row>
    <row r="315" spans="1:6" ht="69" x14ac:dyDescent="0.25">
      <c r="A315" s="101" t="s">
        <v>478</v>
      </c>
      <c r="B315" s="105" t="s">
        <v>386</v>
      </c>
      <c r="C315" s="102" t="s">
        <v>530</v>
      </c>
      <c r="D315" s="103">
        <f>D316</f>
        <v>9952300</v>
      </c>
      <c r="E315" s="103">
        <f>E316</f>
        <v>8051603.4000000004</v>
      </c>
      <c r="F315" s="104">
        <f t="shared" si="22"/>
        <v>1900696.5999999996</v>
      </c>
    </row>
    <row r="316" spans="1:6" ht="23" x14ac:dyDescent="0.25">
      <c r="A316" s="101" t="s">
        <v>531</v>
      </c>
      <c r="B316" s="105" t="s">
        <v>386</v>
      </c>
      <c r="C316" s="102" t="s">
        <v>532</v>
      </c>
      <c r="D316" s="103">
        <f>SUM(D317:D319)</f>
        <v>9952300</v>
      </c>
      <c r="E316" s="103">
        <f>SUM(E317:E319)</f>
        <v>8051603.4000000004</v>
      </c>
      <c r="F316" s="104">
        <f t="shared" si="22"/>
        <v>1900696.5999999996</v>
      </c>
    </row>
    <row r="317" spans="1:6" ht="23" x14ac:dyDescent="0.25">
      <c r="A317" s="101" t="s">
        <v>533</v>
      </c>
      <c r="B317" s="105" t="s">
        <v>386</v>
      </c>
      <c r="C317" s="102" t="s">
        <v>534</v>
      </c>
      <c r="D317" s="103">
        <v>7481792</v>
      </c>
      <c r="E317" s="103">
        <v>6238732.0700000003</v>
      </c>
      <c r="F317" s="104">
        <f t="shared" si="22"/>
        <v>1243059.9299999997</v>
      </c>
    </row>
    <row r="318" spans="1:6" ht="34.5" x14ac:dyDescent="0.25">
      <c r="A318" s="101" t="s">
        <v>535</v>
      </c>
      <c r="B318" s="105" t="s">
        <v>386</v>
      </c>
      <c r="C318" s="102" t="s">
        <v>536</v>
      </c>
      <c r="D318" s="103">
        <v>220067</v>
      </c>
      <c r="E318" s="103">
        <v>8514.49</v>
      </c>
      <c r="F318" s="104">
        <f t="shared" si="22"/>
        <v>211552.51</v>
      </c>
    </row>
    <row r="319" spans="1:6" ht="46.5" customHeight="1" x14ac:dyDescent="0.25">
      <c r="A319" s="101" t="s">
        <v>537</v>
      </c>
      <c r="B319" s="105" t="s">
        <v>386</v>
      </c>
      <c r="C319" s="102" t="s">
        <v>538</v>
      </c>
      <c r="D319" s="103">
        <v>2250441</v>
      </c>
      <c r="E319" s="103">
        <v>1804356.84</v>
      </c>
      <c r="F319" s="104">
        <f t="shared" si="22"/>
        <v>446084.15999999992</v>
      </c>
    </row>
    <row r="320" spans="1:6" ht="23" x14ac:dyDescent="0.25">
      <c r="A320" s="101" t="s">
        <v>488</v>
      </c>
      <c r="B320" s="105" t="s">
        <v>386</v>
      </c>
      <c r="C320" s="102" t="s">
        <v>539</v>
      </c>
      <c r="D320" s="103">
        <f>D321</f>
        <v>757900</v>
      </c>
      <c r="E320" s="103">
        <f>E321</f>
        <v>507505.52999999997</v>
      </c>
      <c r="F320" s="104">
        <f t="shared" si="22"/>
        <v>250394.47000000003</v>
      </c>
    </row>
    <row r="321" spans="1:6" ht="34.5" x14ac:dyDescent="0.25">
      <c r="A321" s="101" t="s">
        <v>394</v>
      </c>
      <c r="B321" s="105" t="s">
        <v>386</v>
      </c>
      <c r="C321" s="102" t="s">
        <v>540</v>
      </c>
      <c r="D321" s="103">
        <f>SUM(D322:D324)</f>
        <v>757900</v>
      </c>
      <c r="E321" s="103">
        <f>SUM(E322:E324)</f>
        <v>507505.52999999997</v>
      </c>
      <c r="F321" s="104">
        <f t="shared" si="22"/>
        <v>250394.47000000003</v>
      </c>
    </row>
    <row r="322" spans="1:6" ht="34.5" x14ac:dyDescent="0.25">
      <c r="A322" s="101" t="s">
        <v>491</v>
      </c>
      <c r="B322" s="105" t="s">
        <v>386</v>
      </c>
      <c r="C322" s="102" t="s">
        <v>541</v>
      </c>
      <c r="D322" s="103">
        <v>29000</v>
      </c>
      <c r="E322" s="103">
        <v>21739.5</v>
      </c>
      <c r="F322" s="104">
        <f t="shared" si="22"/>
        <v>7260.5</v>
      </c>
    </row>
    <row r="323" spans="1:6" x14ac:dyDescent="0.25">
      <c r="A323" s="101" t="s">
        <v>396</v>
      </c>
      <c r="B323" s="105" t="s">
        <v>386</v>
      </c>
      <c r="C323" s="102" t="s">
        <v>542</v>
      </c>
      <c r="D323" s="103">
        <v>410042</v>
      </c>
      <c r="E323" s="103">
        <v>266162.73</v>
      </c>
      <c r="F323" s="104">
        <f>D323-E323</f>
        <v>143879.27000000002</v>
      </c>
    </row>
    <row r="324" spans="1:6" x14ac:dyDescent="0.25">
      <c r="A324" s="101" t="s">
        <v>494</v>
      </c>
      <c r="B324" s="105" t="s">
        <v>386</v>
      </c>
      <c r="C324" s="102" t="s">
        <v>543</v>
      </c>
      <c r="D324" s="103">
        <v>318858</v>
      </c>
      <c r="E324" s="103">
        <v>219603.3</v>
      </c>
      <c r="F324" s="104">
        <f t="shared" si="22"/>
        <v>99254.700000000012</v>
      </c>
    </row>
    <row r="325" spans="1:6" x14ac:dyDescent="0.25">
      <c r="A325" s="101" t="s">
        <v>496</v>
      </c>
      <c r="B325" s="105" t="s">
        <v>386</v>
      </c>
      <c r="C325" s="102" t="s">
        <v>544</v>
      </c>
      <c r="D325" s="103">
        <f>D326</f>
        <v>42000</v>
      </c>
      <c r="E325" s="103">
        <f>E326</f>
        <v>34252.800000000003</v>
      </c>
      <c r="F325" s="104">
        <f t="shared" si="22"/>
        <v>7747.1999999999971</v>
      </c>
    </row>
    <row r="326" spans="1:6" x14ac:dyDescent="0.25">
      <c r="A326" s="101" t="s">
        <v>498</v>
      </c>
      <c r="B326" s="105" t="s">
        <v>386</v>
      </c>
      <c r="C326" s="102" t="s">
        <v>545</v>
      </c>
      <c r="D326" s="103">
        <f>SUM(D327:D328)</f>
        <v>42000</v>
      </c>
      <c r="E326" s="103">
        <f>SUM(E327:E328)</f>
        <v>34252.800000000003</v>
      </c>
      <c r="F326" s="104">
        <f t="shared" si="22"/>
        <v>7747.1999999999971</v>
      </c>
    </row>
    <row r="327" spans="1:6" ht="23" x14ac:dyDescent="0.25">
      <c r="A327" s="101" t="s">
        <v>500</v>
      </c>
      <c r="B327" s="105" t="s">
        <v>386</v>
      </c>
      <c r="C327" s="102" t="s">
        <v>546</v>
      </c>
      <c r="D327" s="103">
        <v>17000</v>
      </c>
      <c r="E327" s="103">
        <v>16737</v>
      </c>
      <c r="F327" s="104">
        <f>D327-E327</f>
        <v>263</v>
      </c>
    </row>
    <row r="328" spans="1:6" x14ac:dyDescent="0.25">
      <c r="A328" s="101" t="s">
        <v>504</v>
      </c>
      <c r="B328" s="105" t="s">
        <v>386</v>
      </c>
      <c r="C328" s="102" t="s">
        <v>547</v>
      </c>
      <c r="D328" s="103">
        <v>25000</v>
      </c>
      <c r="E328" s="103">
        <v>17515.8</v>
      </c>
      <c r="F328" s="104">
        <f t="shared" si="22"/>
        <v>7484.2000000000007</v>
      </c>
    </row>
    <row r="329" spans="1:6" ht="23" x14ac:dyDescent="0.3">
      <c r="A329" s="100" t="s">
        <v>548</v>
      </c>
      <c r="B329" s="92" t="s">
        <v>386</v>
      </c>
      <c r="C329" s="99" t="s">
        <v>549</v>
      </c>
      <c r="D329" s="94">
        <f>D330+D343</f>
        <v>23211500</v>
      </c>
      <c r="E329" s="94">
        <f>E330+E343</f>
        <v>18317268.149999999</v>
      </c>
      <c r="F329" s="95">
        <f t="shared" si="22"/>
        <v>4894231.8500000015</v>
      </c>
    </row>
    <row r="330" spans="1:6" ht="34.5" x14ac:dyDescent="0.3">
      <c r="A330" s="100" t="s">
        <v>550</v>
      </c>
      <c r="B330" s="92" t="s">
        <v>386</v>
      </c>
      <c r="C330" s="99" t="s">
        <v>551</v>
      </c>
      <c r="D330" s="94">
        <f>D331+D336+D340</f>
        <v>8605324</v>
      </c>
      <c r="E330" s="94">
        <f>E331+E336+E340</f>
        <v>6682312.4400000004</v>
      </c>
      <c r="F330" s="95">
        <f>D330-E330</f>
        <v>1923011.5599999996</v>
      </c>
    </row>
    <row r="331" spans="1:6" ht="69" x14ac:dyDescent="0.25">
      <c r="A331" s="101" t="s">
        <v>478</v>
      </c>
      <c r="B331" s="105" t="s">
        <v>386</v>
      </c>
      <c r="C331" s="102" t="s">
        <v>552</v>
      </c>
      <c r="D331" s="103">
        <f>D332</f>
        <v>7856200</v>
      </c>
      <c r="E331" s="103">
        <f>E332</f>
        <v>6084922.4400000004</v>
      </c>
      <c r="F331" s="104">
        <f t="shared" si="22"/>
        <v>1771277.5599999996</v>
      </c>
    </row>
    <row r="332" spans="1:6" ht="23" x14ac:dyDescent="0.25">
      <c r="A332" s="101" t="s">
        <v>480</v>
      </c>
      <c r="B332" s="105" t="s">
        <v>386</v>
      </c>
      <c r="C332" s="102" t="s">
        <v>553</v>
      </c>
      <c r="D332" s="103">
        <f>SUM(D333:D335)</f>
        <v>7856200</v>
      </c>
      <c r="E332" s="103">
        <f>SUM(E333:E335)</f>
        <v>6084922.4400000004</v>
      </c>
      <c r="F332" s="104">
        <f t="shared" si="22"/>
        <v>1771277.5599999996</v>
      </c>
    </row>
    <row r="333" spans="1:6" x14ac:dyDescent="0.25">
      <c r="A333" s="101" t="s">
        <v>482</v>
      </c>
      <c r="B333" s="105" t="s">
        <v>386</v>
      </c>
      <c r="C333" s="102" t="s">
        <v>554</v>
      </c>
      <c r="D333" s="103">
        <v>5960168</v>
      </c>
      <c r="E333" s="103">
        <v>4729347.33</v>
      </c>
      <c r="F333" s="104">
        <f t="shared" si="22"/>
        <v>1230820.67</v>
      </c>
    </row>
    <row r="334" spans="1:6" ht="23" x14ac:dyDescent="0.25">
      <c r="A334" s="101" t="s">
        <v>484</v>
      </c>
      <c r="B334" s="105" t="s">
        <v>386</v>
      </c>
      <c r="C334" s="102" t="s">
        <v>555</v>
      </c>
      <c r="D334" s="103">
        <v>96000</v>
      </c>
      <c r="E334" s="103"/>
      <c r="F334" s="104">
        <f t="shared" si="22"/>
        <v>96000</v>
      </c>
    </row>
    <row r="335" spans="1:6" ht="47.5" customHeight="1" x14ac:dyDescent="0.25">
      <c r="A335" s="101" t="s">
        <v>486</v>
      </c>
      <c r="B335" s="105" t="s">
        <v>386</v>
      </c>
      <c r="C335" s="102" t="s">
        <v>556</v>
      </c>
      <c r="D335" s="103">
        <v>1800032</v>
      </c>
      <c r="E335" s="103">
        <v>1355575.11</v>
      </c>
      <c r="F335" s="104">
        <f t="shared" si="22"/>
        <v>444456.8899999999</v>
      </c>
    </row>
    <row r="336" spans="1:6" ht="23" x14ac:dyDescent="0.25">
      <c r="A336" s="101" t="s">
        <v>488</v>
      </c>
      <c r="B336" s="105" t="s">
        <v>386</v>
      </c>
      <c r="C336" s="102" t="s">
        <v>557</v>
      </c>
      <c r="D336" s="103">
        <f>D337</f>
        <v>749124</v>
      </c>
      <c r="E336" s="103">
        <f>E337</f>
        <v>597390</v>
      </c>
      <c r="F336" s="104">
        <f t="shared" si="22"/>
        <v>151734</v>
      </c>
    </row>
    <row r="337" spans="1:6" ht="34.5" x14ac:dyDescent="0.25">
      <c r="A337" s="101" t="s">
        <v>394</v>
      </c>
      <c r="B337" s="105" t="s">
        <v>386</v>
      </c>
      <c r="C337" s="102" t="s">
        <v>558</v>
      </c>
      <c r="D337" s="103">
        <f>SUM(D338:D339)</f>
        <v>749124</v>
      </c>
      <c r="E337" s="103">
        <f>SUM(E338:E339)</f>
        <v>597390</v>
      </c>
      <c r="F337" s="104">
        <f t="shared" si="22"/>
        <v>151734</v>
      </c>
    </row>
    <row r="338" spans="1:6" ht="34.5" x14ac:dyDescent="0.25">
      <c r="A338" s="101" t="s">
        <v>491</v>
      </c>
      <c r="B338" s="105" t="s">
        <v>386</v>
      </c>
      <c r="C338" s="102" t="s">
        <v>559</v>
      </c>
      <c r="D338" s="103">
        <v>683244</v>
      </c>
      <c r="E338" s="103">
        <v>541767</v>
      </c>
      <c r="F338" s="104">
        <f t="shared" si="22"/>
        <v>141477</v>
      </c>
    </row>
    <row r="339" spans="1:6" x14ac:dyDescent="0.25">
      <c r="A339" s="101" t="s">
        <v>396</v>
      </c>
      <c r="B339" s="105" t="s">
        <v>386</v>
      </c>
      <c r="C339" s="102" t="s">
        <v>560</v>
      </c>
      <c r="D339" s="103">
        <v>65880</v>
      </c>
      <c r="E339" s="103">
        <v>55623</v>
      </c>
      <c r="F339" s="104">
        <f t="shared" si="22"/>
        <v>10257</v>
      </c>
    </row>
    <row r="340" spans="1:6" x14ac:dyDescent="0.25">
      <c r="A340" s="101" t="s">
        <v>496</v>
      </c>
      <c r="B340" s="105" t="s">
        <v>386</v>
      </c>
      <c r="C340" s="102" t="s">
        <v>561</v>
      </c>
      <c r="D340" s="103">
        <f>D341</f>
        <v>0</v>
      </c>
      <c r="E340" s="103">
        <f>E341</f>
        <v>0</v>
      </c>
      <c r="F340" s="104">
        <f>D340-E340</f>
        <v>0</v>
      </c>
    </row>
    <row r="341" spans="1:6" x14ac:dyDescent="0.25">
      <c r="A341" s="101" t="s">
        <v>498</v>
      </c>
      <c r="B341" s="105" t="s">
        <v>386</v>
      </c>
      <c r="C341" s="102" t="s">
        <v>562</v>
      </c>
      <c r="D341" s="103">
        <f>SUM(D342:D342)</f>
        <v>0</v>
      </c>
      <c r="E341" s="103">
        <f>SUM(E342:E342)</f>
        <v>0</v>
      </c>
      <c r="F341" s="104">
        <f>D341-E341</f>
        <v>0</v>
      </c>
    </row>
    <row r="342" spans="1:6" x14ac:dyDescent="0.25">
      <c r="A342" s="101" t="s">
        <v>504</v>
      </c>
      <c r="B342" s="105" t="s">
        <v>386</v>
      </c>
      <c r="C342" s="102" t="s">
        <v>563</v>
      </c>
      <c r="D342" s="103"/>
      <c r="E342" s="103"/>
      <c r="F342" s="104">
        <f>D342-E342</f>
        <v>0</v>
      </c>
    </row>
    <row r="343" spans="1:6" ht="34.5" x14ac:dyDescent="0.3">
      <c r="A343" s="100" t="s">
        <v>564</v>
      </c>
      <c r="B343" s="92" t="s">
        <v>386</v>
      </c>
      <c r="C343" s="99" t="s">
        <v>565</v>
      </c>
      <c r="D343" s="94">
        <f>D344+D349</f>
        <v>14606176</v>
      </c>
      <c r="E343" s="94">
        <f>E344+E349</f>
        <v>11634955.709999999</v>
      </c>
      <c r="F343" s="95">
        <f t="shared" si="22"/>
        <v>2971220.290000001</v>
      </c>
    </row>
    <row r="344" spans="1:6" ht="69" x14ac:dyDescent="0.25">
      <c r="A344" s="101" t="s">
        <v>478</v>
      </c>
      <c r="B344" s="105" t="s">
        <v>386</v>
      </c>
      <c r="C344" s="102" t="s">
        <v>566</v>
      </c>
      <c r="D344" s="103">
        <f>D345</f>
        <v>14329300</v>
      </c>
      <c r="E344" s="103">
        <f>E345</f>
        <v>11375986.949999999</v>
      </c>
      <c r="F344" s="104">
        <f t="shared" si="22"/>
        <v>2953313.0500000007</v>
      </c>
    </row>
    <row r="345" spans="1:6" ht="23" x14ac:dyDescent="0.25">
      <c r="A345" s="101" t="s">
        <v>480</v>
      </c>
      <c r="B345" s="105" t="s">
        <v>386</v>
      </c>
      <c r="C345" s="102" t="s">
        <v>567</v>
      </c>
      <c r="D345" s="103">
        <f>SUM(D346:D348)</f>
        <v>14329300</v>
      </c>
      <c r="E345" s="103">
        <f>SUM(E346:E348)</f>
        <v>11375986.949999999</v>
      </c>
      <c r="F345" s="104">
        <f t="shared" si="22"/>
        <v>2953313.0500000007</v>
      </c>
    </row>
    <row r="346" spans="1:6" x14ac:dyDescent="0.25">
      <c r="A346" s="101" t="s">
        <v>482</v>
      </c>
      <c r="B346" s="105" t="s">
        <v>386</v>
      </c>
      <c r="C346" s="102" t="s">
        <v>568</v>
      </c>
      <c r="D346" s="103">
        <v>10886210</v>
      </c>
      <c r="E346" s="103">
        <v>8829540.5500000007</v>
      </c>
      <c r="F346" s="104">
        <f t="shared" si="22"/>
        <v>2056669.4499999993</v>
      </c>
    </row>
    <row r="347" spans="1:6" ht="23" x14ac:dyDescent="0.25">
      <c r="A347" s="101" t="s">
        <v>484</v>
      </c>
      <c r="B347" s="105" t="s">
        <v>386</v>
      </c>
      <c r="C347" s="102" t="s">
        <v>569</v>
      </c>
      <c r="D347" s="103">
        <v>150000</v>
      </c>
      <c r="E347" s="103">
        <v>29936.7</v>
      </c>
      <c r="F347" s="104">
        <f>D347-E347</f>
        <v>120063.3</v>
      </c>
    </row>
    <row r="348" spans="1:6" ht="50.5" customHeight="1" x14ac:dyDescent="0.25">
      <c r="A348" s="101" t="s">
        <v>486</v>
      </c>
      <c r="B348" s="105" t="s">
        <v>386</v>
      </c>
      <c r="C348" s="102" t="s">
        <v>570</v>
      </c>
      <c r="D348" s="103">
        <v>3293090</v>
      </c>
      <c r="E348" s="103">
        <v>2516509.7000000002</v>
      </c>
      <c r="F348" s="104">
        <f t="shared" si="22"/>
        <v>776580.29999999981</v>
      </c>
    </row>
    <row r="349" spans="1:6" ht="25" customHeight="1" x14ac:dyDescent="0.25">
      <c r="A349" s="101" t="s">
        <v>571</v>
      </c>
      <c r="B349" s="105" t="s">
        <v>386</v>
      </c>
      <c r="C349" s="102" t="s">
        <v>572</v>
      </c>
      <c r="D349" s="103">
        <f>D350</f>
        <v>276876</v>
      </c>
      <c r="E349" s="103">
        <f>E350</f>
        <v>258968.76</v>
      </c>
      <c r="F349" s="104">
        <f t="shared" si="22"/>
        <v>17907.239999999991</v>
      </c>
    </row>
    <row r="350" spans="1:6" ht="28" customHeight="1" x14ac:dyDescent="0.25">
      <c r="A350" s="101" t="s">
        <v>573</v>
      </c>
      <c r="B350" s="105" t="s">
        <v>386</v>
      </c>
      <c r="C350" s="102" t="s">
        <v>574</v>
      </c>
      <c r="D350" s="103">
        <f>D351</f>
        <v>276876</v>
      </c>
      <c r="E350" s="103">
        <f>E351</f>
        <v>258968.76</v>
      </c>
      <c r="F350" s="104">
        <f t="shared" si="22"/>
        <v>17907.239999999991</v>
      </c>
    </row>
    <row r="351" spans="1:6" ht="36.5" customHeight="1" x14ac:dyDescent="0.25">
      <c r="A351" s="101" t="s">
        <v>575</v>
      </c>
      <c r="B351" s="105" t="s">
        <v>386</v>
      </c>
      <c r="C351" s="102" t="s">
        <v>576</v>
      </c>
      <c r="D351" s="103">
        <v>276876</v>
      </c>
      <c r="E351" s="103">
        <v>258968.76</v>
      </c>
      <c r="F351" s="104">
        <f t="shared" si="22"/>
        <v>17907.239999999991</v>
      </c>
    </row>
    <row r="352" spans="1:6" ht="34.5" x14ac:dyDescent="0.3">
      <c r="A352" s="117" t="s">
        <v>577</v>
      </c>
      <c r="B352" s="105" t="s">
        <v>33</v>
      </c>
      <c r="C352" s="118" t="s">
        <v>578</v>
      </c>
      <c r="D352" s="94">
        <f>D353+D528+D616+D771+D971+D1003+D1029+D1041</f>
        <v>616929723.09000015</v>
      </c>
      <c r="E352" s="94">
        <f>E353+E528+E616+E771+E971+E1003+E1029+E1041</f>
        <v>503839118.63999999</v>
      </c>
      <c r="F352" s="95">
        <f t="shared" si="22"/>
        <v>113090604.45000017</v>
      </c>
    </row>
    <row r="353" spans="1:81" s="120" customFormat="1" ht="23" x14ac:dyDescent="0.3">
      <c r="A353" s="100" t="s">
        <v>579</v>
      </c>
      <c r="B353" s="119" t="s">
        <v>386</v>
      </c>
      <c r="C353" s="118" t="s">
        <v>580</v>
      </c>
      <c r="D353" s="94">
        <f>D354+D360+D377+D423+D439+D431+D427</f>
        <v>158588214.56999999</v>
      </c>
      <c r="E353" s="94">
        <f>E354+E360+E377+E423+E439+E431+E427</f>
        <v>124571348.68000001</v>
      </c>
      <c r="F353" s="95">
        <f t="shared" si="22"/>
        <v>34016865.889999986</v>
      </c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</row>
    <row r="354" spans="1:81" ht="38" customHeight="1" x14ac:dyDescent="0.3">
      <c r="A354" s="100" t="s">
        <v>581</v>
      </c>
      <c r="B354" s="92" t="s">
        <v>386</v>
      </c>
      <c r="C354" s="118" t="s">
        <v>582</v>
      </c>
      <c r="D354" s="94">
        <f t="shared" ref="D354:E356" si="23">D355</f>
        <v>3437967</v>
      </c>
      <c r="E354" s="94">
        <f t="shared" si="23"/>
        <v>3292807.73</v>
      </c>
      <c r="F354" s="95">
        <f t="shared" si="22"/>
        <v>145159.27000000002</v>
      </c>
    </row>
    <row r="355" spans="1:81" ht="46" x14ac:dyDescent="0.3">
      <c r="A355" s="100" t="s">
        <v>583</v>
      </c>
      <c r="B355" s="92" t="s">
        <v>386</v>
      </c>
      <c r="C355" s="99" t="s">
        <v>584</v>
      </c>
      <c r="D355" s="94">
        <f t="shared" si="23"/>
        <v>3437967</v>
      </c>
      <c r="E355" s="94">
        <f t="shared" si="23"/>
        <v>3292807.73</v>
      </c>
      <c r="F355" s="95">
        <f t="shared" si="22"/>
        <v>145159.27000000002</v>
      </c>
    </row>
    <row r="356" spans="1:81" ht="69" x14ac:dyDescent="0.25">
      <c r="A356" s="101" t="s">
        <v>478</v>
      </c>
      <c r="B356" s="105" t="s">
        <v>386</v>
      </c>
      <c r="C356" s="102" t="s">
        <v>585</v>
      </c>
      <c r="D356" s="103">
        <f t="shared" si="23"/>
        <v>3437967</v>
      </c>
      <c r="E356" s="103">
        <f t="shared" si="23"/>
        <v>3292807.73</v>
      </c>
      <c r="F356" s="104">
        <f t="shared" si="22"/>
        <v>145159.27000000002</v>
      </c>
    </row>
    <row r="357" spans="1:81" ht="23" x14ac:dyDescent="0.25">
      <c r="A357" s="101" t="s">
        <v>531</v>
      </c>
      <c r="B357" s="105" t="s">
        <v>386</v>
      </c>
      <c r="C357" s="102" t="s">
        <v>586</v>
      </c>
      <c r="D357" s="103">
        <f>SUM(D358:D359)</f>
        <v>3437967</v>
      </c>
      <c r="E357" s="103">
        <f>SUM(E358:E359)</f>
        <v>3292807.73</v>
      </c>
      <c r="F357" s="104">
        <f t="shared" si="22"/>
        <v>145159.27000000002</v>
      </c>
    </row>
    <row r="358" spans="1:81" ht="23" x14ac:dyDescent="0.25">
      <c r="A358" s="101" t="s">
        <v>533</v>
      </c>
      <c r="B358" s="105" t="s">
        <v>386</v>
      </c>
      <c r="C358" s="102" t="s">
        <v>587</v>
      </c>
      <c r="D358" s="103">
        <v>2640528</v>
      </c>
      <c r="E358" s="103">
        <v>2591280.67</v>
      </c>
      <c r="F358" s="104">
        <f t="shared" si="22"/>
        <v>49247.330000000075</v>
      </c>
    </row>
    <row r="359" spans="1:81" ht="46.5" customHeight="1" x14ac:dyDescent="0.25">
      <c r="A359" s="101" t="s">
        <v>537</v>
      </c>
      <c r="B359" s="105" t="s">
        <v>386</v>
      </c>
      <c r="C359" s="102" t="s">
        <v>588</v>
      </c>
      <c r="D359" s="103">
        <v>797439</v>
      </c>
      <c r="E359" s="103">
        <v>701527.06</v>
      </c>
      <c r="F359" s="104">
        <f t="shared" si="22"/>
        <v>95911.939999999944</v>
      </c>
    </row>
    <row r="360" spans="1:81" ht="57.5" x14ac:dyDescent="0.3">
      <c r="A360" s="100" t="s">
        <v>589</v>
      </c>
      <c r="B360" s="105" t="s">
        <v>386</v>
      </c>
      <c r="C360" s="118" t="s">
        <v>590</v>
      </c>
      <c r="D360" s="94">
        <f>D361+D366</f>
        <v>4664782</v>
      </c>
      <c r="E360" s="94">
        <f>E361+E366</f>
        <v>3902057.54</v>
      </c>
      <c r="F360" s="95">
        <f t="shared" si="22"/>
        <v>762724.46</v>
      </c>
    </row>
    <row r="361" spans="1:81" s="55" customFormat="1" ht="57.5" x14ac:dyDescent="0.3">
      <c r="A361" s="100" t="s">
        <v>591</v>
      </c>
      <c r="B361" s="92" t="s">
        <v>386</v>
      </c>
      <c r="C361" s="99" t="s">
        <v>592</v>
      </c>
      <c r="D361" s="94">
        <f>D362</f>
        <v>3396296</v>
      </c>
      <c r="E361" s="94">
        <f>E362</f>
        <v>2766139.17</v>
      </c>
      <c r="F361" s="95">
        <f t="shared" si="22"/>
        <v>630156.83000000007</v>
      </c>
    </row>
    <row r="362" spans="1:81" s="78" customFormat="1" ht="69" x14ac:dyDescent="0.25">
      <c r="A362" s="112" t="s">
        <v>478</v>
      </c>
      <c r="B362" s="113" t="s">
        <v>386</v>
      </c>
      <c r="C362" s="114" t="s">
        <v>593</v>
      </c>
      <c r="D362" s="103">
        <f>D363</f>
        <v>3396296</v>
      </c>
      <c r="E362" s="103">
        <f>E363</f>
        <v>2766139.17</v>
      </c>
      <c r="F362" s="104">
        <f t="shared" si="22"/>
        <v>630156.83000000007</v>
      </c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</row>
    <row r="363" spans="1:81" s="78" customFormat="1" ht="23" x14ac:dyDescent="0.25">
      <c r="A363" s="112" t="s">
        <v>531</v>
      </c>
      <c r="B363" s="113" t="s">
        <v>386</v>
      </c>
      <c r="C363" s="114" t="s">
        <v>594</v>
      </c>
      <c r="D363" s="103">
        <f>SUM(D364:D365)</f>
        <v>3396296</v>
      </c>
      <c r="E363" s="103">
        <f>SUM(E364:E365)</f>
        <v>2766139.17</v>
      </c>
      <c r="F363" s="104">
        <f t="shared" si="22"/>
        <v>630156.83000000007</v>
      </c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</row>
    <row r="364" spans="1:81" ht="23" x14ac:dyDescent="0.25">
      <c r="A364" s="101" t="s">
        <v>533</v>
      </c>
      <c r="B364" s="113" t="s">
        <v>386</v>
      </c>
      <c r="C364" s="114" t="s">
        <v>595</v>
      </c>
      <c r="D364" s="115">
        <v>2608522</v>
      </c>
      <c r="E364" s="115">
        <v>2178040.27</v>
      </c>
      <c r="F364" s="104">
        <f t="shared" si="22"/>
        <v>430481.73</v>
      </c>
    </row>
    <row r="365" spans="1:81" ht="46.5" customHeight="1" x14ac:dyDescent="0.25">
      <c r="A365" s="101" t="s">
        <v>537</v>
      </c>
      <c r="B365" s="113" t="s">
        <v>386</v>
      </c>
      <c r="C365" s="114" t="s">
        <v>596</v>
      </c>
      <c r="D365" s="115">
        <v>787774</v>
      </c>
      <c r="E365" s="115">
        <v>588098.9</v>
      </c>
      <c r="F365" s="104">
        <f t="shared" si="22"/>
        <v>199675.09999999998</v>
      </c>
    </row>
    <row r="366" spans="1:81" s="55" customFormat="1" ht="57.5" x14ac:dyDescent="0.3">
      <c r="A366" s="100" t="s">
        <v>597</v>
      </c>
      <c r="B366" s="92" t="s">
        <v>386</v>
      </c>
      <c r="C366" s="118" t="s">
        <v>598</v>
      </c>
      <c r="D366" s="94">
        <f>D367+D373</f>
        <v>1268486</v>
      </c>
      <c r="E366" s="94">
        <f>E367+E373</f>
        <v>1135918.3700000001</v>
      </c>
      <c r="F366" s="95">
        <f t="shared" si="22"/>
        <v>132567.62999999989</v>
      </c>
    </row>
    <row r="367" spans="1:81" ht="69" x14ac:dyDescent="0.25">
      <c r="A367" s="101" t="s">
        <v>478</v>
      </c>
      <c r="B367" s="105" t="s">
        <v>386</v>
      </c>
      <c r="C367" s="102" t="s">
        <v>599</v>
      </c>
      <c r="D367" s="103">
        <f>D368</f>
        <v>1211486</v>
      </c>
      <c r="E367" s="103">
        <f>E368</f>
        <v>1081366.3700000001</v>
      </c>
      <c r="F367" s="104">
        <f t="shared" si="22"/>
        <v>130119.62999999989</v>
      </c>
    </row>
    <row r="368" spans="1:81" ht="23" x14ac:dyDescent="0.25">
      <c r="A368" s="101" t="s">
        <v>531</v>
      </c>
      <c r="B368" s="105" t="s">
        <v>386</v>
      </c>
      <c r="C368" s="102" t="s">
        <v>600</v>
      </c>
      <c r="D368" s="103">
        <f>SUM(D369:D372)</f>
        <v>1211486</v>
      </c>
      <c r="E368" s="103">
        <f>SUM(E369:E372)</f>
        <v>1081366.3700000001</v>
      </c>
      <c r="F368" s="104">
        <f t="shared" si="22"/>
        <v>130119.62999999989</v>
      </c>
    </row>
    <row r="369" spans="1:81" ht="23" x14ac:dyDescent="0.25">
      <c r="A369" s="101" t="s">
        <v>533</v>
      </c>
      <c r="B369" s="105" t="s">
        <v>386</v>
      </c>
      <c r="C369" s="102" t="s">
        <v>601</v>
      </c>
      <c r="D369" s="103">
        <v>883246</v>
      </c>
      <c r="E369" s="103">
        <v>797656.5</v>
      </c>
      <c r="F369" s="104">
        <f t="shared" si="22"/>
        <v>85589.5</v>
      </c>
    </row>
    <row r="370" spans="1:81" ht="34.5" x14ac:dyDescent="0.25">
      <c r="A370" s="101" t="s">
        <v>535</v>
      </c>
      <c r="B370" s="105" t="s">
        <v>386</v>
      </c>
      <c r="C370" s="102" t="s">
        <v>602</v>
      </c>
      <c r="D370" s="103">
        <v>74655</v>
      </c>
      <c r="E370" s="103">
        <v>74654.8</v>
      </c>
      <c r="F370" s="104">
        <f t="shared" si="22"/>
        <v>0.19999999999708962</v>
      </c>
    </row>
    <row r="371" spans="1:81" ht="34.5" x14ac:dyDescent="0.25">
      <c r="A371" s="101" t="s">
        <v>603</v>
      </c>
      <c r="B371" s="105" t="s">
        <v>386</v>
      </c>
      <c r="C371" s="102" t="s">
        <v>604</v>
      </c>
      <c r="D371" s="103">
        <v>3885</v>
      </c>
      <c r="E371" s="103">
        <v>3884.8</v>
      </c>
      <c r="F371" s="104">
        <f>D371-E371</f>
        <v>0.1999999999998181</v>
      </c>
    </row>
    <row r="372" spans="1:81" ht="46.5" customHeight="1" x14ac:dyDescent="0.25">
      <c r="A372" s="101" t="s">
        <v>537</v>
      </c>
      <c r="B372" s="105" t="s">
        <v>386</v>
      </c>
      <c r="C372" s="102" t="s">
        <v>605</v>
      </c>
      <c r="D372" s="103">
        <v>249700</v>
      </c>
      <c r="E372" s="103">
        <v>205170.27</v>
      </c>
      <c r="F372" s="104">
        <f t="shared" si="22"/>
        <v>44529.73000000001</v>
      </c>
    </row>
    <row r="373" spans="1:81" ht="23" x14ac:dyDescent="0.25">
      <c r="A373" s="101" t="s">
        <v>488</v>
      </c>
      <c r="B373" s="105" t="s">
        <v>386</v>
      </c>
      <c r="C373" s="102" t="s">
        <v>606</v>
      </c>
      <c r="D373" s="103">
        <f>D374</f>
        <v>57000</v>
      </c>
      <c r="E373" s="103">
        <f>E374</f>
        <v>54552</v>
      </c>
      <c r="F373" s="104">
        <f t="shared" si="22"/>
        <v>2448</v>
      </c>
    </row>
    <row r="374" spans="1:81" ht="34.5" x14ac:dyDescent="0.25">
      <c r="A374" s="101" t="s">
        <v>394</v>
      </c>
      <c r="B374" s="105" t="s">
        <v>386</v>
      </c>
      <c r="C374" s="102" t="s">
        <v>607</v>
      </c>
      <c r="D374" s="103">
        <f>SUM(D375:D376)</f>
        <v>57000</v>
      </c>
      <c r="E374" s="103">
        <f>SUM(E375:E376)</f>
        <v>54552</v>
      </c>
      <c r="F374" s="104">
        <f t="shared" si="22"/>
        <v>2448</v>
      </c>
    </row>
    <row r="375" spans="1:81" s="121" customFormat="1" ht="34.5" x14ac:dyDescent="0.25">
      <c r="A375" s="101" t="s">
        <v>491</v>
      </c>
      <c r="B375" s="105" t="s">
        <v>386</v>
      </c>
      <c r="C375" s="102" t="s">
        <v>608</v>
      </c>
      <c r="D375" s="103">
        <v>11200</v>
      </c>
      <c r="E375" s="103">
        <v>10600</v>
      </c>
      <c r="F375" s="104">
        <f t="shared" si="22"/>
        <v>600</v>
      </c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</row>
    <row r="376" spans="1:81" s="78" customFormat="1" x14ac:dyDescent="0.25">
      <c r="A376" s="101" t="s">
        <v>396</v>
      </c>
      <c r="B376" s="105" t="s">
        <v>386</v>
      </c>
      <c r="C376" s="102" t="s">
        <v>609</v>
      </c>
      <c r="D376" s="103">
        <v>45800</v>
      </c>
      <c r="E376" s="103">
        <v>43952</v>
      </c>
      <c r="F376" s="104">
        <f t="shared" si="22"/>
        <v>1848</v>
      </c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</row>
    <row r="377" spans="1:81" s="55" customFormat="1" ht="57.5" x14ac:dyDescent="0.3">
      <c r="A377" s="100" t="s">
        <v>610</v>
      </c>
      <c r="B377" s="92" t="s">
        <v>386</v>
      </c>
      <c r="C377" s="118" t="s">
        <v>611</v>
      </c>
      <c r="D377" s="94">
        <f>D378+D399+D415+D395+D419</f>
        <v>136897876.19999999</v>
      </c>
      <c r="E377" s="94">
        <f>E378+E399+E415+E395+E419</f>
        <v>108074277.83000001</v>
      </c>
      <c r="F377" s="95">
        <f t="shared" si="22"/>
        <v>28823598.369999975</v>
      </c>
    </row>
    <row r="378" spans="1:81" s="55" customFormat="1" ht="23" x14ac:dyDescent="0.3">
      <c r="A378" s="122" t="s">
        <v>612</v>
      </c>
      <c r="B378" s="92" t="s">
        <v>386</v>
      </c>
      <c r="C378" s="99" t="s">
        <v>613</v>
      </c>
      <c r="D378" s="94">
        <f>D379+D383+D390</f>
        <v>430150</v>
      </c>
      <c r="E378" s="94">
        <f>E379+E383+E390</f>
        <v>424601.8</v>
      </c>
      <c r="F378" s="95">
        <f t="shared" si="22"/>
        <v>5548.2000000000116</v>
      </c>
    </row>
    <row r="379" spans="1:81" s="55" customFormat="1" ht="80.5" x14ac:dyDescent="0.3">
      <c r="A379" s="123" t="s">
        <v>614</v>
      </c>
      <c r="B379" s="92" t="s">
        <v>386</v>
      </c>
      <c r="C379" s="99" t="s">
        <v>615</v>
      </c>
      <c r="D379" s="94">
        <f>D380</f>
        <v>19500</v>
      </c>
      <c r="E379" s="94">
        <f>E380</f>
        <v>14099.3</v>
      </c>
      <c r="F379" s="95">
        <f t="shared" ref="F379:F468" si="24">D379-E379</f>
        <v>5400.7000000000007</v>
      </c>
    </row>
    <row r="380" spans="1:81" s="55" customFormat="1" ht="69" x14ac:dyDescent="0.3">
      <c r="A380" s="101" t="s">
        <v>478</v>
      </c>
      <c r="B380" s="105" t="s">
        <v>386</v>
      </c>
      <c r="C380" s="102" t="s">
        <v>616</v>
      </c>
      <c r="D380" s="103">
        <f>D381</f>
        <v>19500</v>
      </c>
      <c r="E380" s="103">
        <f>E381</f>
        <v>14099.3</v>
      </c>
      <c r="F380" s="104">
        <f>D380-E380</f>
        <v>5400.7000000000007</v>
      </c>
    </row>
    <row r="381" spans="1:81" s="55" customFormat="1" ht="23" x14ac:dyDescent="0.3">
      <c r="A381" s="101" t="s">
        <v>531</v>
      </c>
      <c r="B381" s="105" t="s">
        <v>386</v>
      </c>
      <c r="C381" s="102" t="s">
        <v>617</v>
      </c>
      <c r="D381" s="103">
        <f>SUM(D382:D382)</f>
        <v>19500</v>
      </c>
      <c r="E381" s="103">
        <f>SUM(E382:E382)</f>
        <v>14099.3</v>
      </c>
      <c r="F381" s="104">
        <f>D381-E381</f>
        <v>5400.7000000000007</v>
      </c>
    </row>
    <row r="382" spans="1:81" s="55" customFormat="1" ht="34.5" x14ac:dyDescent="0.3">
      <c r="A382" s="101" t="s">
        <v>535</v>
      </c>
      <c r="B382" s="105" t="s">
        <v>386</v>
      </c>
      <c r="C382" s="102" t="s">
        <v>618</v>
      </c>
      <c r="D382" s="103">
        <v>19500</v>
      </c>
      <c r="E382" s="103">
        <v>14099.3</v>
      </c>
      <c r="F382" s="104">
        <f>D382-E382</f>
        <v>5400.7000000000007</v>
      </c>
    </row>
    <row r="383" spans="1:81" s="55" customFormat="1" ht="80.5" x14ac:dyDescent="0.3">
      <c r="A383" s="122" t="s">
        <v>619</v>
      </c>
      <c r="B383" s="92" t="s">
        <v>386</v>
      </c>
      <c r="C383" s="99" t="s">
        <v>620</v>
      </c>
      <c r="D383" s="94">
        <f>D384+D387</f>
        <v>259796</v>
      </c>
      <c r="E383" s="94">
        <f>E384+E387</f>
        <v>259796</v>
      </c>
      <c r="F383" s="95">
        <f t="shared" si="24"/>
        <v>0</v>
      </c>
    </row>
    <row r="384" spans="1:81" s="55" customFormat="1" ht="69" x14ac:dyDescent="0.3">
      <c r="A384" s="101" t="s">
        <v>478</v>
      </c>
      <c r="B384" s="105" t="s">
        <v>386</v>
      </c>
      <c r="C384" s="102" t="s">
        <v>621</v>
      </c>
      <c r="D384" s="103">
        <f>D385</f>
        <v>259796</v>
      </c>
      <c r="E384" s="103">
        <f>E385</f>
        <v>259796</v>
      </c>
      <c r="F384" s="104">
        <f t="shared" si="24"/>
        <v>0</v>
      </c>
    </row>
    <row r="385" spans="1:81" s="55" customFormat="1" ht="23" x14ac:dyDescent="0.3">
      <c r="A385" s="101" t="s">
        <v>531</v>
      </c>
      <c r="B385" s="105" t="s">
        <v>386</v>
      </c>
      <c r="C385" s="102" t="s">
        <v>622</v>
      </c>
      <c r="D385" s="103">
        <f>SUM(D386:D386)</f>
        <v>259796</v>
      </c>
      <c r="E385" s="103">
        <f>SUM(E386:E386)</f>
        <v>259796</v>
      </c>
      <c r="F385" s="104">
        <f t="shared" si="24"/>
        <v>0</v>
      </c>
    </row>
    <row r="386" spans="1:81" s="55" customFormat="1" ht="34.5" x14ac:dyDescent="0.3">
      <c r="A386" s="101" t="s">
        <v>535</v>
      </c>
      <c r="B386" s="105" t="s">
        <v>386</v>
      </c>
      <c r="C386" s="102" t="s">
        <v>623</v>
      </c>
      <c r="D386" s="103">
        <v>259796</v>
      </c>
      <c r="E386" s="103">
        <v>259796</v>
      </c>
      <c r="F386" s="104">
        <f t="shared" si="24"/>
        <v>0</v>
      </c>
    </row>
    <row r="387" spans="1:81" s="55" customFormat="1" ht="23" x14ac:dyDescent="0.3">
      <c r="A387" s="101" t="s">
        <v>488</v>
      </c>
      <c r="B387" s="105" t="s">
        <v>386</v>
      </c>
      <c r="C387" s="102" t="s">
        <v>624</v>
      </c>
      <c r="D387" s="103">
        <f>D388</f>
        <v>0</v>
      </c>
      <c r="E387" s="103">
        <f>E388</f>
        <v>0</v>
      </c>
      <c r="F387" s="104">
        <f t="shared" si="24"/>
        <v>0</v>
      </c>
    </row>
    <row r="388" spans="1:81" s="55" customFormat="1" ht="34.5" x14ac:dyDescent="0.3">
      <c r="A388" s="101" t="s">
        <v>394</v>
      </c>
      <c r="B388" s="105" t="s">
        <v>386</v>
      </c>
      <c r="C388" s="102" t="s">
        <v>625</v>
      </c>
      <c r="D388" s="103">
        <f>SUM(D389:D389)</f>
        <v>0</v>
      </c>
      <c r="E388" s="103">
        <f>SUM(E389:E389)</f>
        <v>0</v>
      </c>
      <c r="F388" s="104">
        <f t="shared" si="24"/>
        <v>0</v>
      </c>
    </row>
    <row r="389" spans="1:81" s="55" customFormat="1" ht="13" x14ac:dyDescent="0.3">
      <c r="A389" s="101" t="s">
        <v>396</v>
      </c>
      <c r="B389" s="105" t="s">
        <v>386</v>
      </c>
      <c r="C389" s="102" t="s">
        <v>626</v>
      </c>
      <c r="D389" s="103">
        <f>22000-22000</f>
        <v>0</v>
      </c>
      <c r="E389" s="103"/>
      <c r="F389" s="104">
        <f t="shared" si="24"/>
        <v>0</v>
      </c>
    </row>
    <row r="390" spans="1:81" s="55" customFormat="1" ht="57.5" x14ac:dyDescent="0.3">
      <c r="A390" s="122" t="s">
        <v>627</v>
      </c>
      <c r="B390" s="92" t="s">
        <v>386</v>
      </c>
      <c r="C390" s="99" t="s">
        <v>628</v>
      </c>
      <c r="D390" s="94">
        <f>D391</f>
        <v>150854</v>
      </c>
      <c r="E390" s="94">
        <f>E391</f>
        <v>150706.5</v>
      </c>
      <c r="F390" s="95">
        <f t="shared" si="24"/>
        <v>147.5</v>
      </c>
    </row>
    <row r="391" spans="1:81" s="55" customFormat="1" ht="69" x14ac:dyDescent="0.3">
      <c r="A391" s="101" t="s">
        <v>478</v>
      </c>
      <c r="B391" s="105" t="s">
        <v>386</v>
      </c>
      <c r="C391" s="102" t="s">
        <v>629</v>
      </c>
      <c r="D391" s="103">
        <f>D392</f>
        <v>150854</v>
      </c>
      <c r="E391" s="103">
        <f>E392</f>
        <v>150706.5</v>
      </c>
      <c r="F391" s="104">
        <f t="shared" si="24"/>
        <v>147.5</v>
      </c>
    </row>
    <row r="392" spans="1:81" s="55" customFormat="1" ht="23" x14ac:dyDescent="0.3">
      <c r="A392" s="101" t="s">
        <v>531</v>
      </c>
      <c r="B392" s="105" t="s">
        <v>386</v>
      </c>
      <c r="C392" s="102" t="s">
        <v>630</v>
      </c>
      <c r="D392" s="103">
        <f>SUM(D393:D394)</f>
        <v>150854</v>
      </c>
      <c r="E392" s="103">
        <f>SUM(E393:E394)</f>
        <v>150706.5</v>
      </c>
      <c r="F392" s="104">
        <f t="shared" si="24"/>
        <v>147.5</v>
      </c>
    </row>
    <row r="393" spans="1:81" s="55" customFormat="1" ht="23" x14ac:dyDescent="0.3">
      <c r="A393" s="101" t="s">
        <v>533</v>
      </c>
      <c r="B393" s="105" t="s">
        <v>386</v>
      </c>
      <c r="C393" s="102" t="s">
        <v>631</v>
      </c>
      <c r="D393" s="103">
        <v>115897.5</v>
      </c>
      <c r="E393" s="103">
        <v>115750</v>
      </c>
      <c r="F393" s="104">
        <f t="shared" si="24"/>
        <v>147.5</v>
      </c>
    </row>
    <row r="394" spans="1:81" s="55" customFormat="1" ht="49" customHeight="1" x14ac:dyDescent="0.3">
      <c r="A394" s="101" t="s">
        <v>632</v>
      </c>
      <c r="B394" s="105" t="s">
        <v>386</v>
      </c>
      <c r="C394" s="102" t="s">
        <v>633</v>
      </c>
      <c r="D394" s="103">
        <v>34956.5</v>
      </c>
      <c r="E394" s="103">
        <v>34956.5</v>
      </c>
      <c r="F394" s="104">
        <f t="shared" si="24"/>
        <v>0</v>
      </c>
    </row>
    <row r="395" spans="1:81" s="55" customFormat="1" ht="69" x14ac:dyDescent="0.3">
      <c r="A395" s="100" t="s">
        <v>634</v>
      </c>
      <c r="B395" s="92" t="s">
        <v>386</v>
      </c>
      <c r="C395" s="99" t="s">
        <v>635</v>
      </c>
      <c r="D395" s="94">
        <f>D396</f>
        <v>250000</v>
      </c>
      <c r="E395" s="94">
        <f>E396</f>
        <v>30860</v>
      </c>
      <c r="F395" s="95">
        <f>D395-E395</f>
        <v>219140</v>
      </c>
    </row>
    <row r="396" spans="1:81" s="55" customFormat="1" ht="23" x14ac:dyDescent="0.3">
      <c r="A396" s="101" t="s">
        <v>488</v>
      </c>
      <c r="B396" s="105" t="s">
        <v>386</v>
      </c>
      <c r="C396" s="102" t="s">
        <v>636</v>
      </c>
      <c r="D396" s="103">
        <f>D397</f>
        <v>250000</v>
      </c>
      <c r="E396" s="103">
        <f>E397</f>
        <v>30860</v>
      </c>
      <c r="F396" s="104">
        <f>D396-E396</f>
        <v>219140</v>
      </c>
    </row>
    <row r="397" spans="1:81" s="55" customFormat="1" ht="34.5" x14ac:dyDescent="0.3">
      <c r="A397" s="101" t="s">
        <v>394</v>
      </c>
      <c r="B397" s="105" t="s">
        <v>386</v>
      </c>
      <c r="C397" s="102" t="s">
        <v>637</v>
      </c>
      <c r="D397" s="103">
        <f>SUM(D398:D398)</f>
        <v>250000</v>
      </c>
      <c r="E397" s="103">
        <f>SUM(E398:E398)</f>
        <v>30860</v>
      </c>
      <c r="F397" s="104">
        <f>D397-E397</f>
        <v>219140</v>
      </c>
    </row>
    <row r="398" spans="1:81" s="55" customFormat="1" ht="13" x14ac:dyDescent="0.3">
      <c r="A398" s="101" t="s">
        <v>396</v>
      </c>
      <c r="B398" s="105" t="s">
        <v>386</v>
      </c>
      <c r="C398" s="102" t="s">
        <v>638</v>
      </c>
      <c r="D398" s="103">
        <v>250000</v>
      </c>
      <c r="E398" s="103">
        <v>30860</v>
      </c>
      <c r="F398" s="104">
        <f>D398-E398</f>
        <v>219140</v>
      </c>
    </row>
    <row r="399" spans="1:81" s="78" customFormat="1" ht="46" x14ac:dyDescent="0.3">
      <c r="A399" s="100" t="s">
        <v>639</v>
      </c>
      <c r="B399" s="92" t="s">
        <v>386</v>
      </c>
      <c r="C399" s="99" t="s">
        <v>640</v>
      </c>
      <c r="D399" s="94">
        <f>D400+D405+D410</f>
        <v>136156936.19999999</v>
      </c>
      <c r="E399" s="94">
        <f>E400+E405+E410</f>
        <v>107558026.03000002</v>
      </c>
      <c r="F399" s="95">
        <f t="shared" si="24"/>
        <v>28598910.169999972</v>
      </c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</row>
    <row r="400" spans="1:81" ht="69" x14ac:dyDescent="0.25">
      <c r="A400" s="101" t="s">
        <v>478</v>
      </c>
      <c r="B400" s="105" t="s">
        <v>386</v>
      </c>
      <c r="C400" s="102" t="s">
        <v>641</v>
      </c>
      <c r="D400" s="103">
        <f>D401</f>
        <v>128652384</v>
      </c>
      <c r="E400" s="103">
        <f>E401</f>
        <v>103348464.89000002</v>
      </c>
      <c r="F400" s="104">
        <f t="shared" si="24"/>
        <v>25303919.109999985</v>
      </c>
    </row>
    <row r="401" spans="1:81" ht="23" x14ac:dyDescent="0.25">
      <c r="A401" s="101" t="s">
        <v>531</v>
      </c>
      <c r="B401" s="105" t="s">
        <v>386</v>
      </c>
      <c r="C401" s="102" t="s">
        <v>642</v>
      </c>
      <c r="D401" s="103">
        <f>SUM(D402:D404)</f>
        <v>128652384</v>
      </c>
      <c r="E401" s="103">
        <f>SUM(E402:E404)</f>
        <v>103348464.89000002</v>
      </c>
      <c r="F401" s="104">
        <f t="shared" si="24"/>
        <v>25303919.109999985</v>
      </c>
    </row>
    <row r="402" spans="1:81" ht="23" x14ac:dyDescent="0.25">
      <c r="A402" s="101" t="s">
        <v>533</v>
      </c>
      <c r="B402" s="105" t="s">
        <v>386</v>
      </c>
      <c r="C402" s="102" t="s">
        <v>643</v>
      </c>
      <c r="D402" s="103">
        <v>97819496</v>
      </c>
      <c r="E402" s="103">
        <v>80514991.400000006</v>
      </c>
      <c r="F402" s="104">
        <f t="shared" si="24"/>
        <v>17304504.599999994</v>
      </c>
    </row>
    <row r="403" spans="1:81" ht="34.5" x14ac:dyDescent="0.25">
      <c r="A403" s="101" t="s">
        <v>535</v>
      </c>
      <c r="B403" s="105" t="s">
        <v>386</v>
      </c>
      <c r="C403" s="102" t="s">
        <v>644</v>
      </c>
      <c r="D403" s="103">
        <v>1291400</v>
      </c>
      <c r="E403" s="103">
        <v>1109699.68</v>
      </c>
      <c r="F403" s="104">
        <f t="shared" si="24"/>
        <v>181700.32000000007</v>
      </c>
    </row>
    <row r="404" spans="1:81" ht="46.5" customHeight="1" x14ac:dyDescent="0.25">
      <c r="A404" s="101" t="s">
        <v>537</v>
      </c>
      <c r="B404" s="105" t="s">
        <v>386</v>
      </c>
      <c r="C404" s="102" t="s">
        <v>645</v>
      </c>
      <c r="D404" s="103">
        <v>29541488</v>
      </c>
      <c r="E404" s="103">
        <v>21723773.809999999</v>
      </c>
      <c r="F404" s="104">
        <f t="shared" si="24"/>
        <v>7817714.1900000013</v>
      </c>
    </row>
    <row r="405" spans="1:81" ht="23" x14ac:dyDescent="0.25">
      <c r="A405" s="101" t="s">
        <v>488</v>
      </c>
      <c r="B405" s="105" t="s">
        <v>386</v>
      </c>
      <c r="C405" s="102" t="s">
        <v>646</v>
      </c>
      <c r="D405" s="103">
        <f>D406</f>
        <v>7431552.2000000002</v>
      </c>
      <c r="E405" s="103">
        <f>E406</f>
        <v>4144305.1399999997</v>
      </c>
      <c r="F405" s="104">
        <f t="shared" si="24"/>
        <v>3287247.0600000005</v>
      </c>
    </row>
    <row r="406" spans="1:81" ht="34.5" x14ac:dyDescent="0.25">
      <c r="A406" s="101" t="s">
        <v>394</v>
      </c>
      <c r="B406" s="105" t="s">
        <v>386</v>
      </c>
      <c r="C406" s="102" t="s">
        <v>647</v>
      </c>
      <c r="D406" s="103">
        <f>SUM(D407:D409)</f>
        <v>7431552.2000000002</v>
      </c>
      <c r="E406" s="103">
        <f>SUM(E407:E409)</f>
        <v>4144305.1399999997</v>
      </c>
      <c r="F406" s="104">
        <f t="shared" si="24"/>
        <v>3287247.0600000005</v>
      </c>
    </row>
    <row r="407" spans="1:81" s="78" customFormat="1" ht="34.5" x14ac:dyDescent="0.25">
      <c r="A407" s="101" t="s">
        <v>491</v>
      </c>
      <c r="B407" s="105" t="s">
        <v>386</v>
      </c>
      <c r="C407" s="102" t="s">
        <v>648</v>
      </c>
      <c r="D407" s="103">
        <v>202214</v>
      </c>
      <c r="E407" s="103">
        <v>139079.29999999999</v>
      </c>
      <c r="F407" s="104">
        <f t="shared" si="24"/>
        <v>63134.700000000012</v>
      </c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</row>
    <row r="408" spans="1:81" s="78" customFormat="1" x14ac:dyDescent="0.25">
      <c r="A408" s="101" t="s">
        <v>396</v>
      </c>
      <c r="B408" s="105" t="s">
        <v>386</v>
      </c>
      <c r="C408" s="102" t="s">
        <v>649</v>
      </c>
      <c r="D408" s="103">
        <v>5949338.2000000002</v>
      </c>
      <c r="E408" s="103">
        <v>3312386.78</v>
      </c>
      <c r="F408" s="104">
        <f>D408-E408</f>
        <v>2636951.4200000004</v>
      </c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</row>
    <row r="409" spans="1:81" x14ac:dyDescent="0.25">
      <c r="A409" s="101" t="s">
        <v>494</v>
      </c>
      <c r="B409" s="105" t="s">
        <v>386</v>
      </c>
      <c r="C409" s="102" t="s">
        <v>650</v>
      </c>
      <c r="D409" s="103">
        <v>1280000</v>
      </c>
      <c r="E409" s="103">
        <v>692839.06</v>
      </c>
      <c r="F409" s="104">
        <f t="shared" si="24"/>
        <v>587160.93999999994</v>
      </c>
    </row>
    <row r="410" spans="1:81" x14ac:dyDescent="0.25">
      <c r="A410" s="101" t="s">
        <v>496</v>
      </c>
      <c r="B410" s="105" t="s">
        <v>386</v>
      </c>
      <c r="C410" s="102" t="s">
        <v>651</v>
      </c>
      <c r="D410" s="103">
        <f>D411</f>
        <v>73000</v>
      </c>
      <c r="E410" s="103">
        <f>E411</f>
        <v>65256</v>
      </c>
      <c r="F410" s="104">
        <f t="shared" si="24"/>
        <v>7744</v>
      </c>
    </row>
    <row r="411" spans="1:81" s="78" customFormat="1" x14ac:dyDescent="0.25">
      <c r="A411" s="101" t="s">
        <v>498</v>
      </c>
      <c r="B411" s="105" t="s">
        <v>386</v>
      </c>
      <c r="C411" s="102" t="s">
        <v>652</v>
      </c>
      <c r="D411" s="103">
        <f>SUM(D412:D414)</f>
        <v>73000</v>
      </c>
      <c r="E411" s="103">
        <f>SUM(E412:E414)</f>
        <v>65256</v>
      </c>
      <c r="F411" s="104">
        <f t="shared" si="24"/>
        <v>7744</v>
      </c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</row>
    <row r="412" spans="1:81" s="78" customFormat="1" ht="23" x14ac:dyDescent="0.25">
      <c r="A412" s="101" t="s">
        <v>500</v>
      </c>
      <c r="B412" s="105" t="s">
        <v>386</v>
      </c>
      <c r="C412" s="102" t="s">
        <v>653</v>
      </c>
      <c r="D412" s="103">
        <v>43996</v>
      </c>
      <c r="E412" s="103">
        <v>36252</v>
      </c>
      <c r="F412" s="104">
        <f t="shared" si="24"/>
        <v>7744</v>
      </c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</row>
    <row r="413" spans="1:81" s="78" customFormat="1" x14ac:dyDescent="0.25">
      <c r="A413" s="101" t="s">
        <v>502</v>
      </c>
      <c r="B413" s="105" t="s">
        <v>386</v>
      </c>
      <c r="C413" s="102" t="s">
        <v>654</v>
      </c>
      <c r="D413" s="103">
        <v>29004</v>
      </c>
      <c r="E413" s="103">
        <v>29004</v>
      </c>
      <c r="F413" s="104">
        <f>D413-E413</f>
        <v>0</v>
      </c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</row>
    <row r="414" spans="1:81" s="78" customFormat="1" hidden="1" x14ac:dyDescent="0.25">
      <c r="A414" s="101" t="s">
        <v>504</v>
      </c>
      <c r="B414" s="105" t="s">
        <v>386</v>
      </c>
      <c r="C414" s="102" t="s">
        <v>655</v>
      </c>
      <c r="D414" s="103"/>
      <c r="E414" s="103"/>
      <c r="F414" s="104">
        <f t="shared" si="24"/>
        <v>0</v>
      </c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</row>
    <row r="415" spans="1:81" s="78" customFormat="1" ht="34.5" x14ac:dyDescent="0.3">
      <c r="A415" s="124" t="s">
        <v>656</v>
      </c>
      <c r="B415" s="92" t="s">
        <v>386</v>
      </c>
      <c r="C415" s="99" t="s">
        <v>657</v>
      </c>
      <c r="D415" s="94">
        <f t="shared" ref="D415:E421" si="25">D416</f>
        <v>2200</v>
      </c>
      <c r="E415" s="94">
        <f t="shared" si="25"/>
        <v>2200</v>
      </c>
      <c r="F415" s="95">
        <f t="shared" si="24"/>
        <v>0</v>
      </c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</row>
    <row r="416" spans="1:81" s="78" customFormat="1" ht="23" x14ac:dyDescent="0.25">
      <c r="A416" s="101" t="s">
        <v>488</v>
      </c>
      <c r="B416" s="105" t="s">
        <v>386</v>
      </c>
      <c r="C416" s="102" t="s">
        <v>658</v>
      </c>
      <c r="D416" s="103">
        <f t="shared" si="25"/>
        <v>2200</v>
      </c>
      <c r="E416" s="103">
        <f t="shared" si="25"/>
        <v>2200</v>
      </c>
      <c r="F416" s="104">
        <f t="shared" si="24"/>
        <v>0</v>
      </c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</row>
    <row r="417" spans="1:81" s="78" customFormat="1" ht="34.5" x14ac:dyDescent="0.25">
      <c r="A417" s="101" t="s">
        <v>394</v>
      </c>
      <c r="B417" s="105" t="s">
        <v>386</v>
      </c>
      <c r="C417" s="102" t="s">
        <v>659</v>
      </c>
      <c r="D417" s="103">
        <f t="shared" si="25"/>
        <v>2200</v>
      </c>
      <c r="E417" s="103">
        <f t="shared" si="25"/>
        <v>2200</v>
      </c>
      <c r="F417" s="104">
        <f t="shared" si="24"/>
        <v>0</v>
      </c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</row>
    <row r="418" spans="1:81" s="78" customFormat="1" x14ac:dyDescent="0.25">
      <c r="A418" s="101" t="s">
        <v>396</v>
      </c>
      <c r="B418" s="105" t="s">
        <v>386</v>
      </c>
      <c r="C418" s="102" t="s">
        <v>660</v>
      </c>
      <c r="D418" s="103">
        <v>2200</v>
      </c>
      <c r="E418" s="103">
        <v>2200</v>
      </c>
      <c r="F418" s="104">
        <f t="shared" si="24"/>
        <v>0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</row>
    <row r="419" spans="1:81" s="78" customFormat="1" ht="26" x14ac:dyDescent="0.3">
      <c r="A419" s="98" t="s">
        <v>661</v>
      </c>
      <c r="B419" s="92" t="s">
        <v>386</v>
      </c>
      <c r="C419" s="99" t="s">
        <v>662</v>
      </c>
      <c r="D419" s="94">
        <f t="shared" si="25"/>
        <v>58590</v>
      </c>
      <c r="E419" s="94">
        <f t="shared" si="25"/>
        <v>58590</v>
      </c>
      <c r="F419" s="95">
        <f t="shared" si="24"/>
        <v>0</v>
      </c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</row>
    <row r="420" spans="1:81" s="78" customFormat="1" ht="23" x14ac:dyDescent="0.3">
      <c r="A420" s="101" t="s">
        <v>488</v>
      </c>
      <c r="B420" s="105" t="s">
        <v>386</v>
      </c>
      <c r="C420" s="102" t="s">
        <v>663</v>
      </c>
      <c r="D420" s="103">
        <f t="shared" si="25"/>
        <v>58590</v>
      </c>
      <c r="E420" s="103">
        <f t="shared" si="25"/>
        <v>58590</v>
      </c>
      <c r="F420" s="95">
        <f>D420-E420</f>
        <v>0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</row>
    <row r="421" spans="1:81" s="78" customFormat="1" ht="34.5" x14ac:dyDescent="0.3">
      <c r="A421" s="101" t="s">
        <v>394</v>
      </c>
      <c r="B421" s="105" t="s">
        <v>386</v>
      </c>
      <c r="C421" s="102" t="s">
        <v>664</v>
      </c>
      <c r="D421" s="103">
        <f t="shared" si="25"/>
        <v>58590</v>
      </c>
      <c r="E421" s="103">
        <f t="shared" si="25"/>
        <v>58590</v>
      </c>
      <c r="F421" s="95">
        <f t="shared" si="24"/>
        <v>0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</row>
    <row r="422" spans="1:81" s="78" customFormat="1" x14ac:dyDescent="0.25">
      <c r="A422" s="101" t="s">
        <v>396</v>
      </c>
      <c r="B422" s="105" t="s">
        <v>386</v>
      </c>
      <c r="C422" s="102" t="s">
        <v>665</v>
      </c>
      <c r="D422" s="103">
        <v>58590</v>
      </c>
      <c r="E422" s="103">
        <v>58590</v>
      </c>
      <c r="F422" s="104">
        <f t="shared" si="24"/>
        <v>0</v>
      </c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</row>
    <row r="423" spans="1:81" s="78" customFormat="1" ht="46" x14ac:dyDescent="0.3">
      <c r="A423" s="100" t="s">
        <v>666</v>
      </c>
      <c r="B423" s="92" t="s">
        <v>386</v>
      </c>
      <c r="C423" s="118" t="s">
        <v>667</v>
      </c>
      <c r="D423" s="94">
        <f t="shared" ref="D423:E425" si="26">D424</f>
        <v>68510</v>
      </c>
      <c r="E423" s="94">
        <f t="shared" si="26"/>
        <v>68510</v>
      </c>
      <c r="F423" s="104">
        <f t="shared" si="24"/>
        <v>0</v>
      </c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</row>
    <row r="424" spans="1:81" s="78" customFormat="1" ht="60.5" customHeight="1" x14ac:dyDescent="0.3">
      <c r="A424" s="100" t="s">
        <v>668</v>
      </c>
      <c r="B424" s="92" t="s">
        <v>386</v>
      </c>
      <c r="C424" s="99" t="s">
        <v>669</v>
      </c>
      <c r="D424" s="94">
        <f t="shared" si="26"/>
        <v>68510</v>
      </c>
      <c r="E424" s="94">
        <f t="shared" si="26"/>
        <v>68510</v>
      </c>
      <c r="F424" s="95">
        <f t="shared" si="24"/>
        <v>0</v>
      </c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</row>
    <row r="425" spans="1:81" s="78" customFormat="1" x14ac:dyDescent="0.25">
      <c r="A425" s="101" t="s">
        <v>670</v>
      </c>
      <c r="B425" s="105" t="s">
        <v>386</v>
      </c>
      <c r="C425" s="102" t="s">
        <v>671</v>
      </c>
      <c r="D425" s="103">
        <f t="shared" si="26"/>
        <v>68510</v>
      </c>
      <c r="E425" s="103">
        <f t="shared" si="26"/>
        <v>68510</v>
      </c>
      <c r="F425" s="104">
        <f t="shared" si="24"/>
        <v>0</v>
      </c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</row>
    <row r="426" spans="1:81" s="78" customFormat="1" x14ac:dyDescent="0.25">
      <c r="A426" s="101" t="s">
        <v>672</v>
      </c>
      <c r="B426" s="105" t="s">
        <v>386</v>
      </c>
      <c r="C426" s="102" t="s">
        <v>673</v>
      </c>
      <c r="D426" s="103">
        <v>68510</v>
      </c>
      <c r="E426" s="103">
        <v>68510</v>
      </c>
      <c r="F426" s="104">
        <f t="shared" si="24"/>
        <v>0</v>
      </c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</row>
    <row r="427" spans="1:81" s="78" customFormat="1" ht="23" hidden="1" x14ac:dyDescent="0.3">
      <c r="A427" s="100" t="s">
        <v>674</v>
      </c>
      <c r="B427" s="92" t="s">
        <v>386</v>
      </c>
      <c r="C427" s="118" t="s">
        <v>675</v>
      </c>
      <c r="D427" s="94">
        <f t="shared" ref="D427:E429" si="27">D428</f>
        <v>0</v>
      </c>
      <c r="E427" s="94">
        <f t="shared" si="27"/>
        <v>0</v>
      </c>
      <c r="F427" s="95">
        <f t="shared" si="24"/>
        <v>0</v>
      </c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</row>
    <row r="428" spans="1:81" s="78" customFormat="1" ht="34.5" hidden="1" x14ac:dyDescent="0.3">
      <c r="A428" s="100" t="s">
        <v>676</v>
      </c>
      <c r="B428" s="92" t="s">
        <v>386</v>
      </c>
      <c r="C428" s="99" t="s">
        <v>677</v>
      </c>
      <c r="D428" s="94">
        <f t="shared" si="27"/>
        <v>0</v>
      </c>
      <c r="E428" s="94">
        <f t="shared" si="27"/>
        <v>0</v>
      </c>
      <c r="F428" s="95">
        <f>D428-E428</f>
        <v>0</v>
      </c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</row>
    <row r="429" spans="1:81" s="78" customFormat="1" hidden="1" x14ac:dyDescent="0.25">
      <c r="A429" s="101" t="s">
        <v>496</v>
      </c>
      <c r="B429" s="105" t="s">
        <v>386</v>
      </c>
      <c r="C429" s="102" t="s">
        <v>678</v>
      </c>
      <c r="D429" s="103">
        <f t="shared" si="27"/>
        <v>0</v>
      </c>
      <c r="E429" s="103">
        <f t="shared" si="27"/>
        <v>0</v>
      </c>
      <c r="F429" s="104">
        <f>D429-E429</f>
        <v>0</v>
      </c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</row>
    <row r="430" spans="1:81" s="78" customFormat="1" hidden="1" x14ac:dyDescent="0.25">
      <c r="A430" s="101" t="s">
        <v>679</v>
      </c>
      <c r="B430" s="105" t="s">
        <v>386</v>
      </c>
      <c r="C430" s="102" t="s">
        <v>680</v>
      </c>
      <c r="D430" s="103"/>
      <c r="E430" s="103"/>
      <c r="F430" s="104">
        <f>D430-E430</f>
        <v>0</v>
      </c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</row>
    <row r="431" spans="1:81" s="78" customFormat="1" ht="13" x14ac:dyDescent="0.3">
      <c r="A431" s="100" t="s">
        <v>681</v>
      </c>
      <c r="B431" s="92" t="s">
        <v>386</v>
      </c>
      <c r="C431" s="118" t="s">
        <v>682</v>
      </c>
      <c r="D431" s="94">
        <f>D432</f>
        <v>28270.66</v>
      </c>
      <c r="E431" s="94">
        <f>E432</f>
        <v>0</v>
      </c>
      <c r="F431" s="95">
        <f t="shared" si="24"/>
        <v>28270.66</v>
      </c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</row>
    <row r="432" spans="1:81" ht="23" x14ac:dyDescent="0.3">
      <c r="A432" s="100" t="s">
        <v>683</v>
      </c>
      <c r="B432" s="92" t="s">
        <v>386</v>
      </c>
      <c r="C432" s="99" t="s">
        <v>684</v>
      </c>
      <c r="D432" s="94">
        <f>D433+D436</f>
        <v>28270.66</v>
      </c>
      <c r="E432" s="94">
        <f>E433+E436</f>
        <v>0</v>
      </c>
      <c r="F432" s="95">
        <f t="shared" si="24"/>
        <v>28270.66</v>
      </c>
    </row>
    <row r="433" spans="1:6" ht="13" x14ac:dyDescent="0.3">
      <c r="A433" s="100" t="s">
        <v>685</v>
      </c>
      <c r="B433" s="92" t="s">
        <v>386</v>
      </c>
      <c r="C433" s="99" t="s">
        <v>686</v>
      </c>
      <c r="D433" s="94">
        <f>D434</f>
        <v>12020.66</v>
      </c>
      <c r="E433" s="94">
        <f>E434</f>
        <v>0</v>
      </c>
      <c r="F433" s="95">
        <f>D433-E433</f>
        <v>12020.66</v>
      </c>
    </row>
    <row r="434" spans="1:6" x14ac:dyDescent="0.25">
      <c r="A434" s="101" t="s">
        <v>496</v>
      </c>
      <c r="B434" s="105" t="s">
        <v>386</v>
      </c>
      <c r="C434" s="102" t="s">
        <v>687</v>
      </c>
      <c r="D434" s="103">
        <f>D435</f>
        <v>12020.66</v>
      </c>
      <c r="E434" s="103">
        <f>E435</f>
        <v>0</v>
      </c>
      <c r="F434" s="104">
        <f t="shared" si="24"/>
        <v>12020.66</v>
      </c>
    </row>
    <row r="435" spans="1:6" x14ac:dyDescent="0.25">
      <c r="A435" s="101" t="s">
        <v>688</v>
      </c>
      <c r="B435" s="105" t="s">
        <v>386</v>
      </c>
      <c r="C435" s="102" t="s">
        <v>689</v>
      </c>
      <c r="D435" s="103">
        <v>12020.66</v>
      </c>
      <c r="E435" s="103"/>
      <c r="F435" s="104">
        <f t="shared" si="24"/>
        <v>12020.66</v>
      </c>
    </row>
    <row r="436" spans="1:6" ht="34.5" x14ac:dyDescent="0.3">
      <c r="A436" s="100" t="s">
        <v>690</v>
      </c>
      <c r="B436" s="92" t="s">
        <v>386</v>
      </c>
      <c r="C436" s="99" t="s">
        <v>691</v>
      </c>
      <c r="D436" s="94">
        <f>D437</f>
        <v>16250</v>
      </c>
      <c r="E436" s="94">
        <f>E437</f>
        <v>0</v>
      </c>
      <c r="F436" s="95">
        <f t="shared" si="24"/>
        <v>16250</v>
      </c>
    </row>
    <row r="437" spans="1:6" x14ac:dyDescent="0.25">
      <c r="A437" s="101" t="s">
        <v>496</v>
      </c>
      <c r="B437" s="105" t="s">
        <v>386</v>
      </c>
      <c r="C437" s="102" t="s">
        <v>692</v>
      </c>
      <c r="D437" s="103">
        <f>D438</f>
        <v>16250</v>
      </c>
      <c r="E437" s="103">
        <f>E438</f>
        <v>0</v>
      </c>
      <c r="F437" s="104">
        <f>D437-E437</f>
        <v>16250</v>
      </c>
    </row>
    <row r="438" spans="1:6" x14ac:dyDescent="0.25">
      <c r="A438" s="101" t="s">
        <v>688</v>
      </c>
      <c r="B438" s="105" t="s">
        <v>386</v>
      </c>
      <c r="C438" s="102" t="s">
        <v>693</v>
      </c>
      <c r="D438" s="103">
        <v>16250</v>
      </c>
      <c r="E438" s="103"/>
      <c r="F438" s="104">
        <f>D438-E438</f>
        <v>16250</v>
      </c>
    </row>
    <row r="439" spans="1:6" ht="13" x14ac:dyDescent="0.3">
      <c r="A439" s="100" t="s">
        <v>694</v>
      </c>
      <c r="B439" s="92" t="s">
        <v>386</v>
      </c>
      <c r="C439" s="118" t="s">
        <v>695</v>
      </c>
      <c r="D439" s="94">
        <f>D440+D445+D479+D485+D509+D525</f>
        <v>13490808.710000001</v>
      </c>
      <c r="E439" s="94">
        <f>E440+E445+E479+E485+E509+E525</f>
        <v>9233695.5800000001</v>
      </c>
      <c r="F439" s="95">
        <f t="shared" si="24"/>
        <v>4257113.1300000008</v>
      </c>
    </row>
    <row r="440" spans="1:6" ht="23" x14ac:dyDescent="0.3">
      <c r="A440" s="122" t="s">
        <v>696</v>
      </c>
      <c r="B440" s="92" t="s">
        <v>386</v>
      </c>
      <c r="C440" s="99" t="s">
        <v>697</v>
      </c>
      <c r="D440" s="94">
        <f t="shared" ref="D440:E443" si="28">D441</f>
        <v>10500</v>
      </c>
      <c r="E440" s="94">
        <f t="shared" si="28"/>
        <v>0</v>
      </c>
      <c r="F440" s="95">
        <f t="shared" si="24"/>
        <v>10500</v>
      </c>
    </row>
    <row r="441" spans="1:6" ht="57.5" x14ac:dyDescent="0.3">
      <c r="A441" s="100" t="s">
        <v>698</v>
      </c>
      <c r="B441" s="92" t="s">
        <v>386</v>
      </c>
      <c r="C441" s="99" t="s">
        <v>699</v>
      </c>
      <c r="D441" s="94">
        <f t="shared" si="28"/>
        <v>10500</v>
      </c>
      <c r="E441" s="94">
        <f t="shared" si="28"/>
        <v>0</v>
      </c>
      <c r="F441" s="95">
        <f t="shared" si="24"/>
        <v>10500</v>
      </c>
    </row>
    <row r="442" spans="1:6" ht="23" x14ac:dyDescent="0.25">
      <c r="A442" s="101" t="s">
        <v>488</v>
      </c>
      <c r="B442" s="105" t="s">
        <v>386</v>
      </c>
      <c r="C442" s="102" t="s">
        <v>700</v>
      </c>
      <c r="D442" s="103">
        <f t="shared" si="28"/>
        <v>10500</v>
      </c>
      <c r="E442" s="103">
        <f t="shared" si="28"/>
        <v>0</v>
      </c>
      <c r="F442" s="104">
        <f t="shared" si="24"/>
        <v>10500</v>
      </c>
    </row>
    <row r="443" spans="1:6" ht="34.5" x14ac:dyDescent="0.25">
      <c r="A443" s="101" t="s">
        <v>394</v>
      </c>
      <c r="B443" s="105" t="s">
        <v>386</v>
      </c>
      <c r="C443" s="102" t="s">
        <v>701</v>
      </c>
      <c r="D443" s="103">
        <f t="shared" si="28"/>
        <v>10500</v>
      </c>
      <c r="E443" s="103">
        <f t="shared" si="28"/>
        <v>0</v>
      </c>
      <c r="F443" s="104">
        <f t="shared" si="24"/>
        <v>10500</v>
      </c>
    </row>
    <row r="444" spans="1:6" x14ac:dyDescent="0.25">
      <c r="A444" s="101" t="s">
        <v>396</v>
      </c>
      <c r="B444" s="105" t="s">
        <v>386</v>
      </c>
      <c r="C444" s="102" t="s">
        <v>702</v>
      </c>
      <c r="D444" s="103">
        <v>10500</v>
      </c>
      <c r="E444" s="103"/>
      <c r="F444" s="104">
        <f t="shared" si="24"/>
        <v>10500</v>
      </c>
    </row>
    <row r="445" spans="1:6" ht="39" x14ac:dyDescent="0.3">
      <c r="A445" s="125" t="s">
        <v>703</v>
      </c>
      <c r="B445" s="92" t="s">
        <v>386</v>
      </c>
      <c r="C445" s="99" t="s">
        <v>704</v>
      </c>
      <c r="D445" s="94">
        <f>D446+D455+D468+D475</f>
        <v>2126640</v>
      </c>
      <c r="E445" s="94">
        <f>E446+E455+E468+E475</f>
        <v>1875981.6</v>
      </c>
      <c r="F445" s="95">
        <f t="shared" si="24"/>
        <v>250658.39999999991</v>
      </c>
    </row>
    <row r="446" spans="1:6" ht="57.5" x14ac:dyDescent="0.3">
      <c r="A446" s="122" t="s">
        <v>705</v>
      </c>
      <c r="B446" s="92" t="s">
        <v>386</v>
      </c>
      <c r="C446" s="99" t="s">
        <v>706</v>
      </c>
      <c r="D446" s="94">
        <f>D447+D450+D452</f>
        <v>310000</v>
      </c>
      <c r="E446" s="94">
        <f>E447+E450+E452</f>
        <v>135757.6</v>
      </c>
      <c r="F446" s="95">
        <f t="shared" si="24"/>
        <v>174242.4</v>
      </c>
    </row>
    <row r="447" spans="1:6" ht="23" x14ac:dyDescent="0.25">
      <c r="A447" s="101" t="s">
        <v>488</v>
      </c>
      <c r="B447" s="105" t="s">
        <v>386</v>
      </c>
      <c r="C447" s="102" t="s">
        <v>707</v>
      </c>
      <c r="D447" s="103">
        <f>D448</f>
        <v>175000</v>
      </c>
      <c r="E447" s="103">
        <f>E448</f>
        <v>5757.6</v>
      </c>
      <c r="F447" s="104">
        <f>D447-E447</f>
        <v>169242.4</v>
      </c>
    </row>
    <row r="448" spans="1:6" ht="34.5" x14ac:dyDescent="0.25">
      <c r="A448" s="101" t="s">
        <v>394</v>
      </c>
      <c r="B448" s="105" t="s">
        <v>386</v>
      </c>
      <c r="C448" s="102" t="s">
        <v>708</v>
      </c>
      <c r="D448" s="103">
        <f>D449</f>
        <v>175000</v>
      </c>
      <c r="E448" s="103">
        <f>E449</f>
        <v>5757.6</v>
      </c>
      <c r="F448" s="104">
        <f>D448-E448</f>
        <v>169242.4</v>
      </c>
    </row>
    <row r="449" spans="1:6" x14ac:dyDescent="0.25">
      <c r="A449" s="101" t="s">
        <v>396</v>
      </c>
      <c r="B449" s="105" t="s">
        <v>386</v>
      </c>
      <c r="C449" s="102" t="s">
        <v>709</v>
      </c>
      <c r="D449" s="103">
        <v>175000</v>
      </c>
      <c r="E449" s="103">
        <v>5757.6</v>
      </c>
      <c r="F449" s="104">
        <f>D449-E449</f>
        <v>169242.4</v>
      </c>
    </row>
    <row r="450" spans="1:6" ht="25.5" customHeight="1" x14ac:dyDescent="0.25">
      <c r="A450" s="101" t="s">
        <v>571</v>
      </c>
      <c r="B450" s="105" t="s">
        <v>386</v>
      </c>
      <c r="C450" s="102" t="s">
        <v>710</v>
      </c>
      <c r="D450" s="103">
        <f>D451</f>
        <v>5000</v>
      </c>
      <c r="E450" s="103">
        <f>E451</f>
        <v>0</v>
      </c>
      <c r="F450" s="104">
        <f>D450-E450</f>
        <v>5000</v>
      </c>
    </row>
    <row r="451" spans="1:6" ht="13.5" customHeight="1" x14ac:dyDescent="0.25">
      <c r="A451" s="101" t="s">
        <v>711</v>
      </c>
      <c r="B451" s="105" t="s">
        <v>386</v>
      </c>
      <c r="C451" s="102" t="s">
        <v>712</v>
      </c>
      <c r="D451" s="103">
        <v>5000</v>
      </c>
      <c r="E451" s="103"/>
      <c r="F451" s="104">
        <f>D451-E451</f>
        <v>5000</v>
      </c>
    </row>
    <row r="452" spans="1:6" ht="34.5" x14ac:dyDescent="0.25">
      <c r="A452" s="101" t="s">
        <v>400</v>
      </c>
      <c r="B452" s="105" t="s">
        <v>386</v>
      </c>
      <c r="C452" s="102" t="s">
        <v>713</v>
      </c>
      <c r="D452" s="103">
        <f>D453</f>
        <v>130000</v>
      </c>
      <c r="E452" s="103">
        <f>E453</f>
        <v>130000</v>
      </c>
      <c r="F452" s="104">
        <f t="shared" si="24"/>
        <v>0</v>
      </c>
    </row>
    <row r="453" spans="1:6" ht="57.5" x14ac:dyDescent="0.25">
      <c r="A453" s="101" t="s">
        <v>714</v>
      </c>
      <c r="B453" s="105" t="s">
        <v>386</v>
      </c>
      <c r="C453" s="102" t="s">
        <v>715</v>
      </c>
      <c r="D453" s="103">
        <f>D454</f>
        <v>130000</v>
      </c>
      <c r="E453" s="103">
        <f>E454</f>
        <v>130000</v>
      </c>
      <c r="F453" s="104">
        <f t="shared" si="24"/>
        <v>0</v>
      </c>
    </row>
    <row r="454" spans="1:6" ht="23" x14ac:dyDescent="0.25">
      <c r="A454" s="101" t="s">
        <v>716</v>
      </c>
      <c r="B454" s="105" t="s">
        <v>386</v>
      </c>
      <c r="C454" s="102" t="s">
        <v>717</v>
      </c>
      <c r="D454" s="103">
        <v>130000</v>
      </c>
      <c r="E454" s="103">
        <v>130000</v>
      </c>
      <c r="F454" s="104">
        <f t="shared" si="24"/>
        <v>0</v>
      </c>
    </row>
    <row r="455" spans="1:6" ht="69" x14ac:dyDescent="0.3">
      <c r="A455" s="122" t="s">
        <v>718</v>
      </c>
      <c r="B455" s="92" t="s">
        <v>386</v>
      </c>
      <c r="C455" s="99" t="s">
        <v>719</v>
      </c>
      <c r="D455" s="94">
        <f t="shared" ref="D455:E457" si="29">D456</f>
        <v>416640</v>
      </c>
      <c r="E455" s="94">
        <f t="shared" si="29"/>
        <v>410224</v>
      </c>
      <c r="F455" s="95">
        <f>D455-E455</f>
        <v>6416</v>
      </c>
    </row>
    <row r="456" spans="1:6" ht="34.5" x14ac:dyDescent="0.25">
      <c r="A456" s="101" t="s">
        <v>400</v>
      </c>
      <c r="B456" s="105" t="s">
        <v>386</v>
      </c>
      <c r="C456" s="102" t="s">
        <v>720</v>
      </c>
      <c r="D456" s="103">
        <f t="shared" si="29"/>
        <v>416640</v>
      </c>
      <c r="E456" s="103">
        <f t="shared" si="29"/>
        <v>410224</v>
      </c>
      <c r="F456" s="104">
        <f>D456-E456</f>
        <v>6416</v>
      </c>
    </row>
    <row r="457" spans="1:6" ht="57.5" x14ac:dyDescent="0.25">
      <c r="A457" s="101" t="s">
        <v>714</v>
      </c>
      <c r="B457" s="105" t="s">
        <v>386</v>
      </c>
      <c r="C457" s="102" t="s">
        <v>721</v>
      </c>
      <c r="D457" s="103">
        <f t="shared" si="29"/>
        <v>416640</v>
      </c>
      <c r="E457" s="103">
        <f t="shared" si="29"/>
        <v>410224</v>
      </c>
      <c r="F457" s="104">
        <f>D457-E457</f>
        <v>6416</v>
      </c>
    </row>
    <row r="458" spans="1:6" ht="26.5" customHeight="1" x14ac:dyDescent="0.25">
      <c r="A458" s="101" t="s">
        <v>716</v>
      </c>
      <c r="B458" s="105" t="s">
        <v>386</v>
      </c>
      <c r="C458" s="102" t="s">
        <v>722</v>
      </c>
      <c r="D458" s="103">
        <f>D463+D467</f>
        <v>416640</v>
      </c>
      <c r="E458" s="103">
        <f>E463+E467</f>
        <v>410224</v>
      </c>
      <c r="F458" s="104">
        <f>D458-E458</f>
        <v>6416</v>
      </c>
    </row>
    <row r="459" spans="1:6" x14ac:dyDescent="0.25">
      <c r="A459" s="100" t="s">
        <v>121</v>
      </c>
      <c r="B459" s="105"/>
      <c r="C459" s="102"/>
      <c r="D459" s="103"/>
      <c r="E459" s="103"/>
      <c r="F459" s="104"/>
    </row>
    <row r="460" spans="1:6" ht="13" x14ac:dyDescent="0.3">
      <c r="A460" s="126" t="s">
        <v>410</v>
      </c>
      <c r="B460" s="92" t="s">
        <v>386</v>
      </c>
      <c r="C460" s="99" t="s">
        <v>719</v>
      </c>
      <c r="D460" s="94">
        <f t="shared" ref="D460:E462" si="30">D461</f>
        <v>220000</v>
      </c>
      <c r="E460" s="94">
        <f t="shared" si="30"/>
        <v>216612.14</v>
      </c>
      <c r="F460" s="95">
        <f t="shared" ref="F460:F467" si="31">D460-E460</f>
        <v>3387.859999999986</v>
      </c>
    </row>
    <row r="461" spans="1:6" ht="34.5" x14ac:dyDescent="0.25">
      <c r="A461" s="101" t="s">
        <v>400</v>
      </c>
      <c r="B461" s="105" t="s">
        <v>386</v>
      </c>
      <c r="C461" s="102" t="s">
        <v>720</v>
      </c>
      <c r="D461" s="103">
        <f t="shared" si="30"/>
        <v>220000</v>
      </c>
      <c r="E461" s="103">
        <f t="shared" si="30"/>
        <v>216612.14</v>
      </c>
      <c r="F461" s="104">
        <f t="shared" si="31"/>
        <v>3387.859999999986</v>
      </c>
    </row>
    <row r="462" spans="1:6" ht="57.5" x14ac:dyDescent="0.25">
      <c r="A462" s="101" t="s">
        <v>714</v>
      </c>
      <c r="B462" s="105" t="s">
        <v>386</v>
      </c>
      <c r="C462" s="102" t="s">
        <v>721</v>
      </c>
      <c r="D462" s="103">
        <f t="shared" si="30"/>
        <v>220000</v>
      </c>
      <c r="E462" s="103">
        <f t="shared" si="30"/>
        <v>216612.14</v>
      </c>
      <c r="F462" s="104">
        <f t="shared" si="31"/>
        <v>3387.859999999986</v>
      </c>
    </row>
    <row r="463" spans="1:6" ht="23.5" customHeight="1" x14ac:dyDescent="0.25">
      <c r="A463" s="101" t="s">
        <v>716</v>
      </c>
      <c r="B463" s="105" t="s">
        <v>386</v>
      </c>
      <c r="C463" s="102" t="s">
        <v>722</v>
      </c>
      <c r="D463" s="103">
        <f>220000</f>
        <v>220000</v>
      </c>
      <c r="E463" s="103">
        <f>188117.32+31682.03-3187.21</f>
        <v>216612.14</v>
      </c>
      <c r="F463" s="104">
        <f t="shared" si="31"/>
        <v>3387.859999999986</v>
      </c>
    </row>
    <row r="464" spans="1:6" ht="13" x14ac:dyDescent="0.3">
      <c r="A464" s="126" t="s">
        <v>723</v>
      </c>
      <c r="B464" s="92" t="s">
        <v>386</v>
      </c>
      <c r="C464" s="99" t="s">
        <v>719</v>
      </c>
      <c r="D464" s="94">
        <f t="shared" ref="D464:E466" si="32">D465</f>
        <v>196640</v>
      </c>
      <c r="E464" s="94">
        <f t="shared" si="32"/>
        <v>193611.86</v>
      </c>
      <c r="F464" s="95">
        <f t="shared" si="31"/>
        <v>3028.140000000014</v>
      </c>
    </row>
    <row r="465" spans="1:6" ht="34.5" x14ac:dyDescent="0.25">
      <c r="A465" s="101" t="s">
        <v>400</v>
      </c>
      <c r="B465" s="105" t="s">
        <v>386</v>
      </c>
      <c r="C465" s="102" t="s">
        <v>720</v>
      </c>
      <c r="D465" s="103">
        <f t="shared" si="32"/>
        <v>196640</v>
      </c>
      <c r="E465" s="103">
        <f t="shared" si="32"/>
        <v>193611.86</v>
      </c>
      <c r="F465" s="104">
        <f t="shared" si="31"/>
        <v>3028.140000000014</v>
      </c>
    </row>
    <row r="466" spans="1:6" ht="57.5" x14ac:dyDescent="0.25">
      <c r="A466" s="101" t="s">
        <v>714</v>
      </c>
      <c r="B466" s="105" t="s">
        <v>386</v>
      </c>
      <c r="C466" s="102" t="s">
        <v>721</v>
      </c>
      <c r="D466" s="103">
        <f t="shared" si="32"/>
        <v>196640</v>
      </c>
      <c r="E466" s="103">
        <f t="shared" si="32"/>
        <v>193611.86</v>
      </c>
      <c r="F466" s="104">
        <f t="shared" si="31"/>
        <v>3028.140000000014</v>
      </c>
    </row>
    <row r="467" spans="1:6" ht="26.5" customHeight="1" x14ac:dyDescent="0.25">
      <c r="A467" s="101" t="s">
        <v>716</v>
      </c>
      <c r="B467" s="105" t="s">
        <v>386</v>
      </c>
      <c r="C467" s="102" t="s">
        <v>722</v>
      </c>
      <c r="D467" s="103">
        <f>196640</f>
        <v>196640</v>
      </c>
      <c r="E467" s="103">
        <f>168142.68+28317.97-2848.79</f>
        <v>193611.86</v>
      </c>
      <c r="F467" s="104">
        <f t="shared" si="31"/>
        <v>3028.140000000014</v>
      </c>
    </row>
    <row r="468" spans="1:6" ht="59.5" customHeight="1" x14ac:dyDescent="0.3">
      <c r="A468" s="100" t="s">
        <v>724</v>
      </c>
      <c r="B468" s="92" t="s">
        <v>386</v>
      </c>
      <c r="C468" s="99" t="s">
        <v>725</v>
      </c>
      <c r="D468" s="94">
        <f>D469+D472</f>
        <v>400000</v>
      </c>
      <c r="E468" s="94">
        <f>E469+E472</f>
        <v>330000</v>
      </c>
      <c r="F468" s="95">
        <f t="shared" si="24"/>
        <v>70000</v>
      </c>
    </row>
    <row r="469" spans="1:6" ht="23" x14ac:dyDescent="0.25">
      <c r="A469" s="101" t="s">
        <v>488</v>
      </c>
      <c r="B469" s="105" t="s">
        <v>386</v>
      </c>
      <c r="C469" s="102" t="s">
        <v>726</v>
      </c>
      <c r="D469" s="103">
        <f>D470</f>
        <v>70000</v>
      </c>
      <c r="E469" s="103">
        <f>E470</f>
        <v>0</v>
      </c>
      <c r="F469" s="104">
        <f>D469-E469</f>
        <v>70000</v>
      </c>
    </row>
    <row r="470" spans="1:6" ht="34.5" x14ac:dyDescent="0.25">
      <c r="A470" s="101" t="s">
        <v>394</v>
      </c>
      <c r="B470" s="105" t="s">
        <v>386</v>
      </c>
      <c r="C470" s="102" t="s">
        <v>727</v>
      </c>
      <c r="D470" s="103">
        <f>D471</f>
        <v>70000</v>
      </c>
      <c r="E470" s="103">
        <f>E471</f>
        <v>0</v>
      </c>
      <c r="F470" s="104">
        <f>D470-E470</f>
        <v>70000</v>
      </c>
    </row>
    <row r="471" spans="1:6" x14ac:dyDescent="0.25">
      <c r="A471" s="101" t="s">
        <v>396</v>
      </c>
      <c r="B471" s="105" t="s">
        <v>386</v>
      </c>
      <c r="C471" s="102" t="s">
        <v>728</v>
      </c>
      <c r="D471" s="103">
        <v>70000</v>
      </c>
      <c r="E471" s="103"/>
      <c r="F471" s="104">
        <f>D471-E471</f>
        <v>70000</v>
      </c>
    </row>
    <row r="472" spans="1:6" ht="34.5" x14ac:dyDescent="0.25">
      <c r="A472" s="101" t="s">
        <v>400</v>
      </c>
      <c r="B472" s="105" t="s">
        <v>386</v>
      </c>
      <c r="C472" s="102" t="s">
        <v>729</v>
      </c>
      <c r="D472" s="103">
        <f>D473</f>
        <v>330000</v>
      </c>
      <c r="E472" s="103">
        <f>E473</f>
        <v>330000</v>
      </c>
      <c r="F472" s="104">
        <f t="shared" ref="F472:F538" si="33">D472-E472</f>
        <v>0</v>
      </c>
    </row>
    <row r="473" spans="1:6" ht="57.5" x14ac:dyDescent="0.25">
      <c r="A473" s="101" t="s">
        <v>714</v>
      </c>
      <c r="B473" s="105" t="s">
        <v>386</v>
      </c>
      <c r="C473" s="102" t="s">
        <v>730</v>
      </c>
      <c r="D473" s="103">
        <f>D474</f>
        <v>330000</v>
      </c>
      <c r="E473" s="103">
        <f>E474</f>
        <v>330000</v>
      </c>
      <c r="F473" s="104">
        <f>D473-E473</f>
        <v>0</v>
      </c>
    </row>
    <row r="474" spans="1:6" ht="26" customHeight="1" x14ac:dyDescent="0.25">
      <c r="A474" s="101" t="s">
        <v>716</v>
      </c>
      <c r="B474" s="105" t="s">
        <v>386</v>
      </c>
      <c r="C474" s="102" t="s">
        <v>731</v>
      </c>
      <c r="D474" s="103">
        <v>330000</v>
      </c>
      <c r="E474" s="103">
        <v>330000</v>
      </c>
      <c r="F474" s="104">
        <f>D474-E474</f>
        <v>0</v>
      </c>
    </row>
    <row r="475" spans="1:6" ht="81" x14ac:dyDescent="0.3">
      <c r="A475" s="100" t="s">
        <v>732</v>
      </c>
      <c r="B475" s="92" t="s">
        <v>386</v>
      </c>
      <c r="C475" s="99" t="s">
        <v>733</v>
      </c>
      <c r="D475" s="94">
        <f t="shared" ref="D475:E477" si="34">D476</f>
        <v>1000000</v>
      </c>
      <c r="E475" s="94">
        <f t="shared" si="34"/>
        <v>1000000</v>
      </c>
      <c r="F475" s="95">
        <f t="shared" si="33"/>
        <v>0</v>
      </c>
    </row>
    <row r="476" spans="1:6" ht="34.5" x14ac:dyDescent="0.25">
      <c r="A476" s="101" t="s">
        <v>400</v>
      </c>
      <c r="B476" s="105" t="s">
        <v>386</v>
      </c>
      <c r="C476" s="102" t="s">
        <v>734</v>
      </c>
      <c r="D476" s="103">
        <f t="shared" si="34"/>
        <v>1000000</v>
      </c>
      <c r="E476" s="103">
        <f t="shared" si="34"/>
        <v>1000000</v>
      </c>
      <c r="F476" s="104">
        <f>D476-E476</f>
        <v>0</v>
      </c>
    </row>
    <row r="477" spans="1:6" ht="57.5" x14ac:dyDescent="0.25">
      <c r="A477" s="101" t="s">
        <v>714</v>
      </c>
      <c r="B477" s="105" t="s">
        <v>386</v>
      </c>
      <c r="C477" s="102" t="s">
        <v>735</v>
      </c>
      <c r="D477" s="103">
        <f t="shared" si="34"/>
        <v>1000000</v>
      </c>
      <c r="E477" s="103">
        <f t="shared" si="34"/>
        <v>1000000</v>
      </c>
      <c r="F477" s="104">
        <f t="shared" si="33"/>
        <v>0</v>
      </c>
    </row>
    <row r="478" spans="1:6" ht="25.5" customHeight="1" x14ac:dyDescent="0.25">
      <c r="A478" s="101" t="s">
        <v>716</v>
      </c>
      <c r="B478" s="105" t="s">
        <v>386</v>
      </c>
      <c r="C478" s="102" t="s">
        <v>736</v>
      </c>
      <c r="D478" s="103">
        <v>1000000</v>
      </c>
      <c r="E478" s="103">
        <v>1000000</v>
      </c>
      <c r="F478" s="104">
        <f t="shared" si="33"/>
        <v>0</v>
      </c>
    </row>
    <row r="479" spans="1:6" ht="26" x14ac:dyDescent="0.3">
      <c r="A479" s="125" t="s">
        <v>737</v>
      </c>
      <c r="B479" s="92" t="s">
        <v>386</v>
      </c>
      <c r="C479" s="99" t="s">
        <v>738</v>
      </c>
      <c r="D479" s="94">
        <f t="shared" ref="D479:E481" si="35">D480</f>
        <v>3000000</v>
      </c>
      <c r="E479" s="94">
        <f t="shared" si="35"/>
        <v>1770425.62</v>
      </c>
      <c r="F479" s="95">
        <f t="shared" si="33"/>
        <v>1229574.3799999999</v>
      </c>
    </row>
    <row r="480" spans="1:6" s="55" customFormat="1" ht="69" x14ac:dyDescent="0.3">
      <c r="A480" s="100" t="s">
        <v>739</v>
      </c>
      <c r="B480" s="92" t="s">
        <v>386</v>
      </c>
      <c r="C480" s="99" t="s">
        <v>740</v>
      </c>
      <c r="D480" s="94">
        <f t="shared" si="35"/>
        <v>3000000</v>
      </c>
      <c r="E480" s="94">
        <f t="shared" si="35"/>
        <v>1770425.62</v>
      </c>
      <c r="F480" s="95">
        <f t="shared" si="33"/>
        <v>1229574.3799999999</v>
      </c>
    </row>
    <row r="481" spans="1:6" s="55" customFormat="1" ht="23" x14ac:dyDescent="0.3">
      <c r="A481" s="101" t="s">
        <v>488</v>
      </c>
      <c r="B481" s="105" t="s">
        <v>386</v>
      </c>
      <c r="C481" s="102" t="s">
        <v>741</v>
      </c>
      <c r="D481" s="103">
        <f t="shared" si="35"/>
        <v>3000000</v>
      </c>
      <c r="E481" s="103">
        <f t="shared" si="35"/>
        <v>1770425.62</v>
      </c>
      <c r="F481" s="104">
        <f t="shared" si="33"/>
        <v>1229574.3799999999</v>
      </c>
    </row>
    <row r="482" spans="1:6" s="55" customFormat="1" ht="34.5" x14ac:dyDescent="0.3">
      <c r="A482" s="101" t="s">
        <v>394</v>
      </c>
      <c r="B482" s="105" t="s">
        <v>386</v>
      </c>
      <c r="C482" s="102" t="s">
        <v>742</v>
      </c>
      <c r="D482" s="103">
        <f>SUM(D483:D484)</f>
        <v>3000000</v>
      </c>
      <c r="E482" s="103">
        <f>SUM(E483:E484)</f>
        <v>1770425.62</v>
      </c>
      <c r="F482" s="104">
        <f t="shared" si="33"/>
        <v>1229574.3799999999</v>
      </c>
    </row>
    <row r="483" spans="1:6" ht="34.5" x14ac:dyDescent="0.25">
      <c r="A483" s="101" t="s">
        <v>491</v>
      </c>
      <c r="B483" s="105" t="s">
        <v>386</v>
      </c>
      <c r="C483" s="102" t="s">
        <v>743</v>
      </c>
      <c r="D483" s="103">
        <v>2950000</v>
      </c>
      <c r="E483" s="103">
        <v>1733491.62</v>
      </c>
      <c r="F483" s="104">
        <f t="shared" si="33"/>
        <v>1216508.3799999999</v>
      </c>
    </row>
    <row r="484" spans="1:6" x14ac:dyDescent="0.25">
      <c r="A484" s="101" t="s">
        <v>396</v>
      </c>
      <c r="B484" s="105" t="s">
        <v>386</v>
      </c>
      <c r="C484" s="102" t="s">
        <v>744</v>
      </c>
      <c r="D484" s="103">
        <v>50000</v>
      </c>
      <c r="E484" s="103">
        <v>36934</v>
      </c>
      <c r="F484" s="104">
        <f t="shared" si="33"/>
        <v>13066</v>
      </c>
    </row>
    <row r="485" spans="1:6" ht="64" customHeight="1" x14ac:dyDescent="0.3">
      <c r="A485" s="125" t="s">
        <v>745</v>
      </c>
      <c r="B485" s="92" t="s">
        <v>386</v>
      </c>
      <c r="C485" s="99" t="s">
        <v>746</v>
      </c>
      <c r="D485" s="94">
        <f>D486+D490+D494+D498</f>
        <v>5473197.2999999998</v>
      </c>
      <c r="E485" s="94">
        <f>E486+E490+E494+E498</f>
        <v>3316974.9299999997</v>
      </c>
      <c r="F485" s="95">
        <f t="shared" si="33"/>
        <v>2156222.37</v>
      </c>
    </row>
    <row r="486" spans="1:6" ht="80.5" x14ac:dyDescent="0.3">
      <c r="A486" s="100" t="s">
        <v>747</v>
      </c>
      <c r="B486" s="119" t="s">
        <v>386</v>
      </c>
      <c r="C486" s="99" t="s">
        <v>748</v>
      </c>
      <c r="D486" s="94">
        <f t="shared" ref="D486:E488" si="36">D487</f>
        <v>200000</v>
      </c>
      <c r="E486" s="94">
        <f t="shared" si="36"/>
        <v>59000</v>
      </c>
      <c r="F486" s="95">
        <f t="shared" si="33"/>
        <v>141000</v>
      </c>
    </row>
    <row r="487" spans="1:6" ht="23" x14ac:dyDescent="0.25">
      <c r="A487" s="101" t="s">
        <v>488</v>
      </c>
      <c r="B487" s="105" t="s">
        <v>386</v>
      </c>
      <c r="C487" s="102" t="s">
        <v>749</v>
      </c>
      <c r="D487" s="103">
        <f t="shared" si="36"/>
        <v>200000</v>
      </c>
      <c r="E487" s="103">
        <f t="shared" si="36"/>
        <v>59000</v>
      </c>
      <c r="F487" s="104">
        <f t="shared" si="33"/>
        <v>141000</v>
      </c>
    </row>
    <row r="488" spans="1:6" ht="34.5" x14ac:dyDescent="0.25">
      <c r="A488" s="101" t="s">
        <v>394</v>
      </c>
      <c r="B488" s="105" t="s">
        <v>386</v>
      </c>
      <c r="C488" s="102" t="s">
        <v>750</v>
      </c>
      <c r="D488" s="103">
        <f t="shared" si="36"/>
        <v>200000</v>
      </c>
      <c r="E488" s="103">
        <f t="shared" si="36"/>
        <v>59000</v>
      </c>
      <c r="F488" s="104">
        <f t="shared" si="33"/>
        <v>141000</v>
      </c>
    </row>
    <row r="489" spans="1:6" x14ac:dyDescent="0.25">
      <c r="A489" s="101" t="s">
        <v>396</v>
      </c>
      <c r="B489" s="105" t="s">
        <v>386</v>
      </c>
      <c r="C489" s="102" t="s">
        <v>751</v>
      </c>
      <c r="D489" s="103">
        <v>200000</v>
      </c>
      <c r="E489" s="103">
        <v>59000</v>
      </c>
      <c r="F489" s="104">
        <f t="shared" si="33"/>
        <v>141000</v>
      </c>
    </row>
    <row r="490" spans="1:6" ht="83" customHeight="1" x14ac:dyDescent="0.3">
      <c r="A490" s="100" t="s">
        <v>752</v>
      </c>
      <c r="B490" s="92" t="s">
        <v>386</v>
      </c>
      <c r="C490" s="99" t="s">
        <v>753</v>
      </c>
      <c r="D490" s="94">
        <f t="shared" ref="D490:E492" si="37">D491</f>
        <v>155000</v>
      </c>
      <c r="E490" s="94">
        <f t="shared" si="37"/>
        <v>26264.16</v>
      </c>
      <c r="F490" s="95">
        <f t="shared" si="33"/>
        <v>128735.84</v>
      </c>
    </row>
    <row r="491" spans="1:6" ht="23" x14ac:dyDescent="0.25">
      <c r="A491" s="101" t="s">
        <v>488</v>
      </c>
      <c r="B491" s="105" t="s">
        <v>386</v>
      </c>
      <c r="C491" s="102" t="s">
        <v>754</v>
      </c>
      <c r="D491" s="103">
        <f t="shared" si="37"/>
        <v>155000</v>
      </c>
      <c r="E491" s="103">
        <f t="shared" si="37"/>
        <v>26264.16</v>
      </c>
      <c r="F491" s="104">
        <f t="shared" si="33"/>
        <v>128735.84</v>
      </c>
    </row>
    <row r="492" spans="1:6" ht="34.5" x14ac:dyDescent="0.25">
      <c r="A492" s="101" t="s">
        <v>394</v>
      </c>
      <c r="B492" s="105" t="s">
        <v>386</v>
      </c>
      <c r="C492" s="102" t="s">
        <v>755</v>
      </c>
      <c r="D492" s="103">
        <f t="shared" si="37"/>
        <v>155000</v>
      </c>
      <c r="E492" s="103">
        <f t="shared" si="37"/>
        <v>26264.16</v>
      </c>
      <c r="F492" s="104">
        <f t="shared" si="33"/>
        <v>128735.84</v>
      </c>
    </row>
    <row r="493" spans="1:6" x14ac:dyDescent="0.25">
      <c r="A493" s="101" t="s">
        <v>396</v>
      </c>
      <c r="B493" s="105" t="s">
        <v>386</v>
      </c>
      <c r="C493" s="102" t="s">
        <v>756</v>
      </c>
      <c r="D493" s="103">
        <v>155000</v>
      </c>
      <c r="E493" s="103">
        <v>26264.16</v>
      </c>
      <c r="F493" s="104">
        <f t="shared" si="33"/>
        <v>128735.84</v>
      </c>
    </row>
    <row r="494" spans="1:6" s="55" customFormat="1" ht="69" x14ac:dyDescent="0.3">
      <c r="A494" s="100" t="s">
        <v>757</v>
      </c>
      <c r="B494" s="119" t="s">
        <v>386</v>
      </c>
      <c r="C494" s="99" t="s">
        <v>758</v>
      </c>
      <c r="D494" s="94">
        <f t="shared" ref="D494:E499" si="38">D495</f>
        <v>300000</v>
      </c>
      <c r="E494" s="94">
        <f t="shared" si="38"/>
        <v>65000</v>
      </c>
      <c r="F494" s="95">
        <f t="shared" si="33"/>
        <v>235000</v>
      </c>
    </row>
    <row r="495" spans="1:6" ht="23" x14ac:dyDescent="0.25">
      <c r="A495" s="101" t="s">
        <v>488</v>
      </c>
      <c r="B495" s="105" t="s">
        <v>386</v>
      </c>
      <c r="C495" s="102" t="s">
        <v>759</v>
      </c>
      <c r="D495" s="103">
        <f t="shared" si="38"/>
        <v>300000</v>
      </c>
      <c r="E495" s="103">
        <f t="shared" si="38"/>
        <v>65000</v>
      </c>
      <c r="F495" s="104">
        <f t="shared" si="33"/>
        <v>235000</v>
      </c>
    </row>
    <row r="496" spans="1:6" ht="34.5" x14ac:dyDescent="0.25">
      <c r="A496" s="101" t="s">
        <v>394</v>
      </c>
      <c r="B496" s="105" t="s">
        <v>386</v>
      </c>
      <c r="C496" s="102" t="s">
        <v>760</v>
      </c>
      <c r="D496" s="103">
        <f t="shared" si="38"/>
        <v>300000</v>
      </c>
      <c r="E496" s="103">
        <f t="shared" si="38"/>
        <v>65000</v>
      </c>
      <c r="F496" s="104">
        <f t="shared" si="33"/>
        <v>235000</v>
      </c>
    </row>
    <row r="497" spans="1:6" s="55" customFormat="1" ht="13" x14ac:dyDescent="0.3">
      <c r="A497" s="101" t="s">
        <v>396</v>
      </c>
      <c r="B497" s="106" t="s">
        <v>386</v>
      </c>
      <c r="C497" s="102" t="s">
        <v>761</v>
      </c>
      <c r="D497" s="103">
        <v>300000</v>
      </c>
      <c r="E497" s="103">
        <v>65000</v>
      </c>
      <c r="F497" s="104">
        <f t="shared" si="33"/>
        <v>235000</v>
      </c>
    </row>
    <row r="498" spans="1:6" s="55" customFormat="1" ht="57.5" x14ac:dyDescent="0.3">
      <c r="A498" s="100" t="s">
        <v>762</v>
      </c>
      <c r="B498" s="119" t="s">
        <v>386</v>
      </c>
      <c r="C498" s="99" t="s">
        <v>763</v>
      </c>
      <c r="D498" s="94">
        <f>D499+D504</f>
        <v>4818197.3</v>
      </c>
      <c r="E498" s="94">
        <f>E499+E504</f>
        <v>3166710.7699999996</v>
      </c>
      <c r="F498" s="95">
        <f t="shared" si="33"/>
        <v>1651486.5300000003</v>
      </c>
    </row>
    <row r="499" spans="1:6" s="55" customFormat="1" ht="23" x14ac:dyDescent="0.3">
      <c r="A499" s="101" t="s">
        <v>488</v>
      </c>
      <c r="B499" s="105" t="s">
        <v>386</v>
      </c>
      <c r="C499" s="102" t="s">
        <v>764</v>
      </c>
      <c r="D499" s="103">
        <f t="shared" si="38"/>
        <v>2653560</v>
      </c>
      <c r="E499" s="103">
        <f t="shared" si="38"/>
        <v>1955747.7999999998</v>
      </c>
      <c r="F499" s="104">
        <f t="shared" si="33"/>
        <v>697812.20000000019</v>
      </c>
    </row>
    <row r="500" spans="1:6" s="55" customFormat="1" ht="34.5" x14ac:dyDescent="0.3">
      <c r="A500" s="101" t="s">
        <v>394</v>
      </c>
      <c r="B500" s="105" t="s">
        <v>386</v>
      </c>
      <c r="C500" s="102" t="s">
        <v>765</v>
      </c>
      <c r="D500" s="103">
        <f>SUM(D501:D503)</f>
        <v>2653560</v>
      </c>
      <c r="E500" s="103">
        <f>SUM(E501:E503)</f>
        <v>1955747.7999999998</v>
      </c>
      <c r="F500" s="104">
        <f t="shared" si="33"/>
        <v>697812.20000000019</v>
      </c>
    </row>
    <row r="501" spans="1:6" s="55" customFormat="1" ht="34.5" x14ac:dyDescent="0.3">
      <c r="A501" s="101" t="s">
        <v>491</v>
      </c>
      <c r="B501" s="106" t="s">
        <v>386</v>
      </c>
      <c r="C501" s="102" t="s">
        <v>766</v>
      </c>
      <c r="D501" s="103">
        <v>4036.4</v>
      </c>
      <c r="E501" s="103">
        <v>4036.19</v>
      </c>
      <c r="F501" s="104">
        <f t="shared" si="33"/>
        <v>0.21000000000003638</v>
      </c>
    </row>
    <row r="502" spans="1:6" s="55" customFormat="1" ht="13" x14ac:dyDescent="0.3">
      <c r="A502" s="101" t="s">
        <v>396</v>
      </c>
      <c r="B502" s="106" t="s">
        <v>386</v>
      </c>
      <c r="C502" s="102" t="s">
        <v>767</v>
      </c>
      <c r="D502" s="103">
        <v>1546800.72</v>
      </c>
      <c r="E502" s="103">
        <v>1018526.35</v>
      </c>
      <c r="F502" s="104">
        <f t="shared" si="33"/>
        <v>528274.37</v>
      </c>
    </row>
    <row r="503" spans="1:6" s="55" customFormat="1" ht="13" x14ac:dyDescent="0.3">
      <c r="A503" s="101" t="s">
        <v>494</v>
      </c>
      <c r="B503" s="106" t="s">
        <v>386</v>
      </c>
      <c r="C503" s="102" t="s">
        <v>768</v>
      </c>
      <c r="D503" s="103">
        <v>1102722.8799999999</v>
      </c>
      <c r="E503" s="103">
        <v>933185.26</v>
      </c>
      <c r="F503" s="104">
        <f t="shared" si="33"/>
        <v>169537.61999999988</v>
      </c>
    </row>
    <row r="504" spans="1:6" s="55" customFormat="1" ht="13" x14ac:dyDescent="0.3">
      <c r="A504" s="101" t="s">
        <v>496</v>
      </c>
      <c r="B504" s="105" t="s">
        <v>386</v>
      </c>
      <c r="C504" s="102" t="s">
        <v>769</v>
      </c>
      <c r="D504" s="103">
        <f>D505+D507</f>
        <v>2164637.2999999998</v>
      </c>
      <c r="E504" s="103">
        <f>E505+E507</f>
        <v>1210962.97</v>
      </c>
      <c r="F504" s="104">
        <f>D504-E504</f>
        <v>953674.32999999984</v>
      </c>
    </row>
    <row r="505" spans="1:6" s="55" customFormat="1" ht="13" x14ac:dyDescent="0.3">
      <c r="A505" s="101" t="s">
        <v>770</v>
      </c>
      <c r="B505" s="105" t="s">
        <v>386</v>
      </c>
      <c r="C505" s="102" t="s">
        <v>771</v>
      </c>
      <c r="D505" s="103">
        <f>SUM(D506:D506)</f>
        <v>2164197.2999999998</v>
      </c>
      <c r="E505" s="103">
        <f>SUM(E506:E506)</f>
        <v>1210522.97</v>
      </c>
      <c r="F505" s="104">
        <f>D505-E505</f>
        <v>953674.32999999984</v>
      </c>
    </row>
    <row r="506" spans="1:6" s="55" customFormat="1" ht="107" customHeight="1" x14ac:dyDescent="0.3">
      <c r="A506" s="101" t="s">
        <v>772</v>
      </c>
      <c r="B506" s="106" t="s">
        <v>386</v>
      </c>
      <c r="C506" s="102" t="s">
        <v>773</v>
      </c>
      <c r="D506" s="103">
        <v>2164197.2999999998</v>
      </c>
      <c r="E506" s="103">
        <v>1210522.97</v>
      </c>
      <c r="F506" s="104">
        <f>D506-E506</f>
        <v>953674.32999999984</v>
      </c>
    </row>
    <row r="507" spans="1:6" s="55" customFormat="1" ht="13" x14ac:dyDescent="0.3">
      <c r="A507" s="101" t="s">
        <v>498</v>
      </c>
      <c r="B507" s="105" t="s">
        <v>386</v>
      </c>
      <c r="C507" s="102" t="s">
        <v>774</v>
      </c>
      <c r="D507" s="103">
        <f>SUM(D508:D508)</f>
        <v>440</v>
      </c>
      <c r="E507" s="103">
        <f>SUM(E508:E508)</f>
        <v>440</v>
      </c>
      <c r="F507" s="104">
        <f>D507-E507</f>
        <v>0</v>
      </c>
    </row>
    <row r="508" spans="1:6" s="55" customFormat="1" ht="13" x14ac:dyDescent="0.3">
      <c r="A508" s="101" t="s">
        <v>504</v>
      </c>
      <c r="B508" s="106" t="s">
        <v>386</v>
      </c>
      <c r="C508" s="102" t="s">
        <v>775</v>
      </c>
      <c r="D508" s="103">
        <v>440</v>
      </c>
      <c r="E508" s="103">
        <v>440</v>
      </c>
      <c r="F508" s="104">
        <f>D508-E508</f>
        <v>0</v>
      </c>
    </row>
    <row r="509" spans="1:6" ht="26" x14ac:dyDescent="0.3">
      <c r="A509" s="98" t="s">
        <v>776</v>
      </c>
      <c r="B509" s="92" t="s">
        <v>386</v>
      </c>
      <c r="C509" s="99" t="s">
        <v>777</v>
      </c>
      <c r="D509" s="94">
        <f>D510+D517</f>
        <v>2800471.41</v>
      </c>
      <c r="E509" s="94">
        <f>E510+E517</f>
        <v>2190313.4299999997</v>
      </c>
      <c r="F509" s="95">
        <f t="shared" si="33"/>
        <v>610157.98000000045</v>
      </c>
    </row>
    <row r="510" spans="1:6" ht="34.5" x14ac:dyDescent="0.3">
      <c r="A510" s="100" t="s">
        <v>778</v>
      </c>
      <c r="B510" s="92" t="s">
        <v>386</v>
      </c>
      <c r="C510" s="99" t="s">
        <v>779</v>
      </c>
      <c r="D510" s="94">
        <f>D511+D514</f>
        <v>1900096.2</v>
      </c>
      <c r="E510" s="94">
        <f>E511+E514</f>
        <v>1480296.17</v>
      </c>
      <c r="F510" s="95">
        <f t="shared" si="33"/>
        <v>419800.03</v>
      </c>
    </row>
    <row r="511" spans="1:6" ht="23" x14ac:dyDescent="0.25">
      <c r="A511" s="101" t="s">
        <v>488</v>
      </c>
      <c r="B511" s="105" t="s">
        <v>386</v>
      </c>
      <c r="C511" s="102" t="s">
        <v>780</v>
      </c>
      <c r="D511" s="103">
        <f>D512</f>
        <v>1650256.2</v>
      </c>
      <c r="E511" s="103">
        <f>E512</f>
        <v>1342656.17</v>
      </c>
      <c r="F511" s="104">
        <f t="shared" si="33"/>
        <v>307600.03000000003</v>
      </c>
    </row>
    <row r="512" spans="1:6" ht="34.5" x14ac:dyDescent="0.25">
      <c r="A512" s="101" t="s">
        <v>394</v>
      </c>
      <c r="B512" s="105" t="s">
        <v>386</v>
      </c>
      <c r="C512" s="102" t="s">
        <v>781</v>
      </c>
      <c r="D512" s="103">
        <f>D513</f>
        <v>1650256.2</v>
      </c>
      <c r="E512" s="103">
        <f>E513</f>
        <v>1342656.17</v>
      </c>
      <c r="F512" s="104">
        <f t="shared" si="33"/>
        <v>307600.03000000003</v>
      </c>
    </row>
    <row r="513" spans="1:81" x14ac:dyDescent="0.25">
      <c r="A513" s="101" t="s">
        <v>396</v>
      </c>
      <c r="B513" s="105" t="s">
        <v>386</v>
      </c>
      <c r="C513" s="102" t="s">
        <v>782</v>
      </c>
      <c r="D513" s="103">
        <v>1650256.2</v>
      </c>
      <c r="E513" s="103">
        <v>1342656.17</v>
      </c>
      <c r="F513" s="104">
        <f t="shared" si="33"/>
        <v>307600.03000000003</v>
      </c>
    </row>
    <row r="514" spans="1:81" ht="23" x14ac:dyDescent="0.25">
      <c r="A514" s="101" t="s">
        <v>783</v>
      </c>
      <c r="B514" s="105" t="s">
        <v>386</v>
      </c>
      <c r="C514" s="102" t="s">
        <v>784</v>
      </c>
      <c r="D514" s="103">
        <f>SUM(D515:D516)</f>
        <v>249840</v>
      </c>
      <c r="E514" s="103">
        <f>SUM(E515:E516)</f>
        <v>137640</v>
      </c>
      <c r="F514" s="104">
        <f>D514-E514</f>
        <v>112200</v>
      </c>
    </row>
    <row r="515" spans="1:81" ht="23" x14ac:dyDescent="0.25">
      <c r="A515" s="101" t="s">
        <v>785</v>
      </c>
      <c r="B515" s="105" t="s">
        <v>386</v>
      </c>
      <c r="C515" s="102" t="s">
        <v>786</v>
      </c>
      <c r="D515" s="103">
        <v>246840</v>
      </c>
      <c r="E515" s="103">
        <v>134640</v>
      </c>
      <c r="F515" s="104">
        <f>D515-E515</f>
        <v>112200</v>
      </c>
    </row>
    <row r="516" spans="1:81" ht="17.5" customHeight="1" x14ac:dyDescent="0.25">
      <c r="A516" s="101" t="s">
        <v>711</v>
      </c>
      <c r="B516" s="105" t="s">
        <v>386</v>
      </c>
      <c r="C516" s="102" t="s">
        <v>787</v>
      </c>
      <c r="D516" s="103">
        <v>3000</v>
      </c>
      <c r="E516" s="103">
        <v>3000</v>
      </c>
      <c r="F516" s="104">
        <f>D516-E516</f>
        <v>0</v>
      </c>
    </row>
    <row r="517" spans="1:81" ht="26" x14ac:dyDescent="0.3">
      <c r="A517" s="98" t="s">
        <v>788</v>
      </c>
      <c r="B517" s="92" t="s">
        <v>386</v>
      </c>
      <c r="C517" s="99" t="s">
        <v>789</v>
      </c>
      <c r="D517" s="94">
        <f>D518</f>
        <v>900375.21</v>
      </c>
      <c r="E517" s="94">
        <f>E518</f>
        <v>710017.26</v>
      </c>
      <c r="F517" s="95">
        <f t="shared" si="33"/>
        <v>190357.94999999995</v>
      </c>
    </row>
    <row r="518" spans="1:81" x14ac:dyDescent="0.25">
      <c r="A518" s="101" t="s">
        <v>496</v>
      </c>
      <c r="B518" s="105" t="s">
        <v>386</v>
      </c>
      <c r="C518" s="102" t="s">
        <v>790</v>
      </c>
      <c r="D518" s="103">
        <f>D519+D521</f>
        <v>900375.21</v>
      </c>
      <c r="E518" s="103">
        <f>E519+E521</f>
        <v>710017.26</v>
      </c>
      <c r="F518" s="104">
        <f t="shared" si="33"/>
        <v>190357.94999999995</v>
      </c>
    </row>
    <row r="519" spans="1:81" x14ac:dyDescent="0.25">
      <c r="A519" s="101" t="s">
        <v>770</v>
      </c>
      <c r="B519" s="105" t="s">
        <v>386</v>
      </c>
      <c r="C519" s="102" t="s">
        <v>791</v>
      </c>
      <c r="D519" s="103">
        <f>D520</f>
        <v>195802.7</v>
      </c>
      <c r="E519" s="103">
        <f>E520</f>
        <v>74638.649999999994</v>
      </c>
      <c r="F519" s="104">
        <f t="shared" si="33"/>
        <v>121164.05000000002</v>
      </c>
    </row>
    <row r="520" spans="1:81" ht="108.5" customHeight="1" x14ac:dyDescent="0.25">
      <c r="A520" s="101" t="s">
        <v>772</v>
      </c>
      <c r="B520" s="105" t="s">
        <v>386</v>
      </c>
      <c r="C520" s="102" t="s">
        <v>792</v>
      </c>
      <c r="D520" s="103">
        <v>195802.7</v>
      </c>
      <c r="E520" s="103">
        <v>74638.649999999994</v>
      </c>
      <c r="F520" s="104">
        <f t="shared" si="33"/>
        <v>121164.05000000002</v>
      </c>
    </row>
    <row r="521" spans="1:81" x14ac:dyDescent="0.25">
      <c r="A521" s="101" t="s">
        <v>498</v>
      </c>
      <c r="B521" s="105" t="s">
        <v>386</v>
      </c>
      <c r="C521" s="102" t="s">
        <v>793</v>
      </c>
      <c r="D521" s="103">
        <f>SUM(D522:D524)</f>
        <v>704572.51</v>
      </c>
      <c r="E521" s="103">
        <f>SUM(E522:E524)</f>
        <v>635378.61</v>
      </c>
      <c r="F521" s="104">
        <f t="shared" si="33"/>
        <v>69193.900000000023</v>
      </c>
    </row>
    <row r="522" spans="1:81" ht="23" x14ac:dyDescent="0.25">
      <c r="A522" s="101" t="s">
        <v>500</v>
      </c>
      <c r="B522" s="105" t="s">
        <v>386</v>
      </c>
      <c r="C522" s="102" t="s">
        <v>794</v>
      </c>
      <c r="D522" s="103">
        <v>107000</v>
      </c>
      <c r="E522" s="103">
        <v>53817</v>
      </c>
      <c r="F522" s="104">
        <f t="shared" si="33"/>
        <v>53183</v>
      </c>
    </row>
    <row r="523" spans="1:81" s="78" customFormat="1" x14ac:dyDescent="0.25">
      <c r="A523" s="101" t="s">
        <v>502</v>
      </c>
      <c r="B523" s="105" t="s">
        <v>386</v>
      </c>
      <c r="C523" s="102" t="s">
        <v>795</v>
      </c>
      <c r="D523" s="103">
        <v>170000</v>
      </c>
      <c r="E523" s="103">
        <v>153990</v>
      </c>
      <c r="F523" s="104">
        <f t="shared" si="33"/>
        <v>16010</v>
      </c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</row>
    <row r="524" spans="1:81" s="78" customFormat="1" x14ac:dyDescent="0.25">
      <c r="A524" s="101" t="s">
        <v>504</v>
      </c>
      <c r="B524" s="106" t="s">
        <v>386</v>
      </c>
      <c r="C524" s="102" t="s">
        <v>796</v>
      </c>
      <c r="D524" s="103">
        <v>427572.51</v>
      </c>
      <c r="E524" s="103">
        <v>427571.61</v>
      </c>
      <c r="F524" s="104">
        <f t="shared" si="33"/>
        <v>0.90000000002328306</v>
      </c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</row>
    <row r="525" spans="1:81" ht="26" x14ac:dyDescent="0.3">
      <c r="A525" s="98" t="s">
        <v>661</v>
      </c>
      <c r="B525" s="92" t="s">
        <v>386</v>
      </c>
      <c r="C525" s="99" t="s">
        <v>797</v>
      </c>
      <c r="D525" s="94">
        <f>D526</f>
        <v>80000</v>
      </c>
      <c r="E525" s="94">
        <f>E526</f>
        <v>80000</v>
      </c>
      <c r="F525" s="95">
        <f t="shared" si="33"/>
        <v>0</v>
      </c>
    </row>
    <row r="526" spans="1:81" ht="23" x14ac:dyDescent="0.3">
      <c r="A526" s="101" t="s">
        <v>783</v>
      </c>
      <c r="B526" s="105" t="s">
        <v>386</v>
      </c>
      <c r="C526" s="102" t="s">
        <v>798</v>
      </c>
      <c r="D526" s="103">
        <f>D527</f>
        <v>80000</v>
      </c>
      <c r="E526" s="103">
        <f>E527</f>
        <v>80000</v>
      </c>
      <c r="F526" s="95">
        <f t="shared" si="33"/>
        <v>0</v>
      </c>
    </row>
    <row r="527" spans="1:81" ht="23" x14ac:dyDescent="0.25">
      <c r="A527" s="101" t="s">
        <v>785</v>
      </c>
      <c r="B527" s="105" t="s">
        <v>386</v>
      </c>
      <c r="C527" s="102" t="s">
        <v>799</v>
      </c>
      <c r="D527" s="103">
        <v>80000</v>
      </c>
      <c r="E527" s="103">
        <v>80000</v>
      </c>
      <c r="F527" s="104">
        <f t="shared" si="33"/>
        <v>0</v>
      </c>
    </row>
    <row r="528" spans="1:81" s="55" customFormat="1" ht="34.5" x14ac:dyDescent="0.3">
      <c r="A528" s="100" t="s">
        <v>800</v>
      </c>
      <c r="B528" s="92" t="s">
        <v>386</v>
      </c>
      <c r="C528" s="118" t="s">
        <v>801</v>
      </c>
      <c r="D528" s="94">
        <f>D529+D535+D586</f>
        <v>5027726</v>
      </c>
      <c r="E528" s="94">
        <f>E529+E535+E586</f>
        <v>4637123.0999999996</v>
      </c>
      <c r="F528" s="95">
        <f t="shared" si="33"/>
        <v>390602.90000000037</v>
      </c>
    </row>
    <row r="529" spans="1:6" s="55" customFormat="1" ht="13" x14ac:dyDescent="0.3">
      <c r="A529" s="100" t="s">
        <v>802</v>
      </c>
      <c r="B529" s="92" t="s">
        <v>386</v>
      </c>
      <c r="C529" s="118" t="s">
        <v>803</v>
      </c>
      <c r="D529" s="94">
        <f>D530</f>
        <v>110000</v>
      </c>
      <c r="E529" s="94">
        <f>E530</f>
        <v>0</v>
      </c>
      <c r="F529" s="95">
        <f t="shared" si="33"/>
        <v>110000</v>
      </c>
    </row>
    <row r="530" spans="1:6" s="55" customFormat="1" ht="26" x14ac:dyDescent="0.3">
      <c r="A530" s="127" t="s">
        <v>804</v>
      </c>
      <c r="B530" s="92" t="s">
        <v>386</v>
      </c>
      <c r="C530" s="99" t="s">
        <v>805</v>
      </c>
      <c r="D530" s="94">
        <f>D532</f>
        <v>110000</v>
      </c>
      <c r="E530" s="94">
        <f>E532</f>
        <v>0</v>
      </c>
      <c r="F530" s="95">
        <f t="shared" si="33"/>
        <v>110000</v>
      </c>
    </row>
    <row r="531" spans="1:6" s="55" customFormat="1" ht="69" x14ac:dyDescent="0.3">
      <c r="A531" s="128" t="s">
        <v>806</v>
      </c>
      <c r="B531" s="92" t="s">
        <v>386</v>
      </c>
      <c r="C531" s="99" t="s">
        <v>807</v>
      </c>
      <c r="D531" s="94">
        <f t="shared" ref="D531:E533" si="39">D532</f>
        <v>110000</v>
      </c>
      <c r="E531" s="94">
        <f t="shared" si="39"/>
        <v>0</v>
      </c>
      <c r="F531" s="95">
        <f t="shared" si="33"/>
        <v>110000</v>
      </c>
    </row>
    <row r="532" spans="1:6" s="55" customFormat="1" ht="23" x14ac:dyDescent="0.3">
      <c r="A532" s="101" t="s">
        <v>488</v>
      </c>
      <c r="B532" s="105" t="s">
        <v>386</v>
      </c>
      <c r="C532" s="102" t="s">
        <v>808</v>
      </c>
      <c r="D532" s="103">
        <f t="shared" si="39"/>
        <v>110000</v>
      </c>
      <c r="E532" s="103">
        <f t="shared" si="39"/>
        <v>0</v>
      </c>
      <c r="F532" s="104">
        <f t="shared" si="33"/>
        <v>110000</v>
      </c>
    </row>
    <row r="533" spans="1:6" s="55" customFormat="1" ht="34.5" x14ac:dyDescent="0.3">
      <c r="A533" s="101" t="s">
        <v>394</v>
      </c>
      <c r="B533" s="105" t="s">
        <v>386</v>
      </c>
      <c r="C533" s="102" t="s">
        <v>809</v>
      </c>
      <c r="D533" s="103">
        <f t="shared" si="39"/>
        <v>110000</v>
      </c>
      <c r="E533" s="103">
        <f t="shared" si="39"/>
        <v>0</v>
      </c>
      <c r="F533" s="104">
        <f t="shared" si="33"/>
        <v>110000</v>
      </c>
    </row>
    <row r="534" spans="1:6" s="55" customFormat="1" ht="13" x14ac:dyDescent="0.3">
      <c r="A534" s="101" t="s">
        <v>396</v>
      </c>
      <c r="B534" s="105" t="s">
        <v>386</v>
      </c>
      <c r="C534" s="102" t="s">
        <v>810</v>
      </c>
      <c r="D534" s="103">
        <v>110000</v>
      </c>
      <c r="E534" s="103"/>
      <c r="F534" s="104">
        <f t="shared" si="33"/>
        <v>110000</v>
      </c>
    </row>
    <row r="535" spans="1:6" ht="46" x14ac:dyDescent="0.3">
      <c r="A535" s="100" t="s">
        <v>811</v>
      </c>
      <c r="B535" s="92" t="s">
        <v>386</v>
      </c>
      <c r="C535" s="118" t="s">
        <v>812</v>
      </c>
      <c r="D535" s="94">
        <f>D536+D575+D583+D579</f>
        <v>3286467</v>
      </c>
      <c r="E535" s="94">
        <f>E536+E575+E583+E579</f>
        <v>3184022.37</v>
      </c>
      <c r="F535" s="95">
        <f t="shared" si="33"/>
        <v>102444.62999999989</v>
      </c>
    </row>
    <row r="536" spans="1:6" ht="104" x14ac:dyDescent="0.3">
      <c r="A536" s="127" t="s">
        <v>813</v>
      </c>
      <c r="B536" s="92" t="s">
        <v>386</v>
      </c>
      <c r="C536" s="99" t="s">
        <v>814</v>
      </c>
      <c r="D536" s="94">
        <f>D537+D541+D545+D558+D562</f>
        <v>2261446</v>
      </c>
      <c r="E536" s="94">
        <f>E537+E541+E545+E558+E562</f>
        <v>2159001.37</v>
      </c>
      <c r="F536" s="95">
        <f t="shared" si="33"/>
        <v>102444.62999999989</v>
      </c>
    </row>
    <row r="537" spans="1:6" ht="115" x14ac:dyDescent="0.3">
      <c r="A537" s="128" t="s">
        <v>815</v>
      </c>
      <c r="B537" s="92" t="s">
        <v>386</v>
      </c>
      <c r="C537" s="99" t="s">
        <v>816</v>
      </c>
      <c r="D537" s="94">
        <f t="shared" ref="D537:E539" si="40">D538</f>
        <v>483000</v>
      </c>
      <c r="E537" s="94">
        <f t="shared" si="40"/>
        <v>452280.82</v>
      </c>
      <c r="F537" s="95">
        <f t="shared" si="33"/>
        <v>30719.179999999993</v>
      </c>
    </row>
    <row r="538" spans="1:6" ht="23" x14ac:dyDescent="0.3">
      <c r="A538" s="129" t="s">
        <v>488</v>
      </c>
      <c r="B538" s="92" t="s">
        <v>386</v>
      </c>
      <c r="C538" s="102" t="s">
        <v>817</v>
      </c>
      <c r="D538" s="94">
        <f t="shared" si="40"/>
        <v>483000</v>
      </c>
      <c r="E538" s="94">
        <f t="shared" si="40"/>
        <v>452280.82</v>
      </c>
      <c r="F538" s="95">
        <f t="shared" si="33"/>
        <v>30719.179999999993</v>
      </c>
    </row>
    <row r="539" spans="1:6" ht="34.5" x14ac:dyDescent="0.25">
      <c r="A539" s="129" t="s">
        <v>394</v>
      </c>
      <c r="B539" s="105" t="s">
        <v>386</v>
      </c>
      <c r="C539" s="102" t="s">
        <v>818</v>
      </c>
      <c r="D539" s="103">
        <f t="shared" si="40"/>
        <v>483000</v>
      </c>
      <c r="E539" s="103">
        <f t="shared" si="40"/>
        <v>452280.82</v>
      </c>
      <c r="F539" s="104">
        <f t="shared" ref="F539:F548" si="41">D539-E539</f>
        <v>30719.179999999993</v>
      </c>
    </row>
    <row r="540" spans="1:6" x14ac:dyDescent="0.25">
      <c r="A540" s="101" t="s">
        <v>396</v>
      </c>
      <c r="B540" s="105" t="s">
        <v>386</v>
      </c>
      <c r="C540" s="102" t="s">
        <v>819</v>
      </c>
      <c r="D540" s="103">
        <v>483000</v>
      </c>
      <c r="E540" s="103">
        <v>452280.82</v>
      </c>
      <c r="F540" s="104">
        <f t="shared" si="41"/>
        <v>30719.179999999993</v>
      </c>
    </row>
    <row r="541" spans="1:6" ht="103.5" x14ac:dyDescent="0.3">
      <c r="A541" s="100" t="s">
        <v>820</v>
      </c>
      <c r="B541" s="92" t="s">
        <v>386</v>
      </c>
      <c r="C541" s="99" t="s">
        <v>821</v>
      </c>
      <c r="D541" s="94">
        <f>D542</f>
        <v>1158451.1599999999</v>
      </c>
      <c r="E541" s="94">
        <f>E542</f>
        <v>1095297.6000000001</v>
      </c>
      <c r="F541" s="95">
        <f t="shared" si="41"/>
        <v>63153.559999999823</v>
      </c>
    </row>
    <row r="542" spans="1:6" ht="23" x14ac:dyDescent="0.25">
      <c r="A542" s="101" t="s">
        <v>488</v>
      </c>
      <c r="B542" s="105" t="s">
        <v>386</v>
      </c>
      <c r="C542" s="102" t="s">
        <v>822</v>
      </c>
      <c r="D542" s="103">
        <f>D543</f>
        <v>1158451.1599999999</v>
      </c>
      <c r="E542" s="103">
        <f>E543</f>
        <v>1095297.6000000001</v>
      </c>
      <c r="F542" s="104">
        <f t="shared" si="41"/>
        <v>63153.559999999823</v>
      </c>
    </row>
    <row r="543" spans="1:6" ht="34.5" x14ac:dyDescent="0.25">
      <c r="A543" s="101" t="s">
        <v>394</v>
      </c>
      <c r="B543" s="105" t="s">
        <v>386</v>
      </c>
      <c r="C543" s="102" t="s">
        <v>823</v>
      </c>
      <c r="D543" s="103">
        <f>SUM(D544:D544)</f>
        <v>1158451.1599999999</v>
      </c>
      <c r="E543" s="103">
        <f>SUM(E544:E544)</f>
        <v>1095297.6000000001</v>
      </c>
      <c r="F543" s="104">
        <f t="shared" si="41"/>
        <v>63153.559999999823</v>
      </c>
    </row>
    <row r="544" spans="1:6" x14ac:dyDescent="0.25">
      <c r="A544" s="101" t="s">
        <v>396</v>
      </c>
      <c r="B544" s="105" t="s">
        <v>386</v>
      </c>
      <c r="C544" s="102" t="s">
        <v>824</v>
      </c>
      <c r="D544" s="103">
        <v>1158451.1599999999</v>
      </c>
      <c r="E544" s="103">
        <v>1095297.6000000001</v>
      </c>
      <c r="F544" s="104">
        <f t="shared" si="41"/>
        <v>63153.559999999823</v>
      </c>
    </row>
    <row r="545" spans="1:6" ht="115" x14ac:dyDescent="0.3">
      <c r="A545" s="100" t="s">
        <v>825</v>
      </c>
      <c r="B545" s="92" t="s">
        <v>386</v>
      </c>
      <c r="C545" s="99" t="s">
        <v>826</v>
      </c>
      <c r="D545" s="94">
        <f t="shared" ref="D545:E556" si="42">D546</f>
        <v>61348.84</v>
      </c>
      <c r="E545" s="94">
        <f t="shared" si="42"/>
        <v>59698.36</v>
      </c>
      <c r="F545" s="95">
        <f t="shared" si="41"/>
        <v>1650.4799999999959</v>
      </c>
    </row>
    <row r="546" spans="1:6" ht="23" x14ac:dyDescent="0.25">
      <c r="A546" s="130" t="s">
        <v>488</v>
      </c>
      <c r="B546" s="105" t="s">
        <v>386</v>
      </c>
      <c r="C546" s="102" t="s">
        <v>827</v>
      </c>
      <c r="D546" s="103">
        <f t="shared" si="42"/>
        <v>61348.84</v>
      </c>
      <c r="E546" s="103">
        <f t="shared" si="42"/>
        <v>59698.36</v>
      </c>
      <c r="F546" s="104">
        <f t="shared" si="41"/>
        <v>1650.4799999999959</v>
      </c>
    </row>
    <row r="547" spans="1:6" ht="34.5" x14ac:dyDescent="0.25">
      <c r="A547" s="101" t="s">
        <v>394</v>
      </c>
      <c r="B547" s="105" t="s">
        <v>386</v>
      </c>
      <c r="C547" s="102" t="s">
        <v>828</v>
      </c>
      <c r="D547" s="103">
        <f t="shared" si="42"/>
        <v>61348.84</v>
      </c>
      <c r="E547" s="103">
        <f t="shared" si="42"/>
        <v>59698.36</v>
      </c>
      <c r="F547" s="104">
        <f t="shared" si="41"/>
        <v>1650.4799999999959</v>
      </c>
    </row>
    <row r="548" spans="1:6" x14ac:dyDescent="0.25">
      <c r="A548" s="101" t="s">
        <v>396</v>
      </c>
      <c r="B548" s="105" t="s">
        <v>386</v>
      </c>
      <c r="C548" s="102" t="s">
        <v>829</v>
      </c>
      <c r="D548" s="103">
        <f>D553+D557</f>
        <v>61348.84</v>
      </c>
      <c r="E548" s="103">
        <f>E553+E557</f>
        <v>59698.36</v>
      </c>
      <c r="F548" s="104">
        <f t="shared" si="41"/>
        <v>1650.4799999999959</v>
      </c>
    </row>
    <row r="549" spans="1:6" ht="13" x14ac:dyDescent="0.25">
      <c r="A549" s="98" t="s">
        <v>121</v>
      </c>
      <c r="B549" s="105"/>
      <c r="C549" s="102"/>
      <c r="D549" s="103"/>
      <c r="E549" s="103"/>
      <c r="F549" s="104"/>
    </row>
    <row r="550" spans="1:6" ht="13.5" x14ac:dyDescent="0.3">
      <c r="A550" s="108" t="s">
        <v>410</v>
      </c>
      <c r="B550" s="92" t="s">
        <v>386</v>
      </c>
      <c r="C550" s="99" t="s">
        <v>826</v>
      </c>
      <c r="D550" s="94">
        <f t="shared" si="42"/>
        <v>20148.84</v>
      </c>
      <c r="E550" s="94">
        <f t="shared" si="42"/>
        <v>18506.46</v>
      </c>
      <c r="F550" s="95">
        <f t="shared" ref="F550:F565" si="43">D550-E550</f>
        <v>1642.380000000001</v>
      </c>
    </row>
    <row r="551" spans="1:6" ht="23" x14ac:dyDescent="0.25">
      <c r="A551" s="101" t="s">
        <v>488</v>
      </c>
      <c r="B551" s="105" t="s">
        <v>386</v>
      </c>
      <c r="C551" s="102" t="s">
        <v>827</v>
      </c>
      <c r="D551" s="103">
        <f t="shared" si="42"/>
        <v>20148.84</v>
      </c>
      <c r="E551" s="103">
        <f t="shared" si="42"/>
        <v>18506.46</v>
      </c>
      <c r="F551" s="104">
        <f t="shared" si="43"/>
        <v>1642.380000000001</v>
      </c>
    </row>
    <row r="552" spans="1:6" ht="34.5" x14ac:dyDescent="0.25">
      <c r="A552" s="101" t="s">
        <v>394</v>
      </c>
      <c r="B552" s="105" t="s">
        <v>386</v>
      </c>
      <c r="C552" s="102" t="s">
        <v>828</v>
      </c>
      <c r="D552" s="103">
        <f t="shared" si="42"/>
        <v>20148.84</v>
      </c>
      <c r="E552" s="103">
        <f t="shared" si="42"/>
        <v>18506.46</v>
      </c>
      <c r="F552" s="104">
        <f t="shared" si="43"/>
        <v>1642.380000000001</v>
      </c>
    </row>
    <row r="553" spans="1:6" x14ac:dyDescent="0.25">
      <c r="A553" s="101" t="s">
        <v>396</v>
      </c>
      <c r="B553" s="105" t="s">
        <v>386</v>
      </c>
      <c r="C553" s="102" t="s">
        <v>829</v>
      </c>
      <c r="D553" s="103">
        <f>46410-26261.16</f>
        <v>20148.84</v>
      </c>
      <c r="E553" s="103">
        <f>18506.46</f>
        <v>18506.46</v>
      </c>
      <c r="F553" s="104">
        <f t="shared" si="43"/>
        <v>1642.380000000001</v>
      </c>
    </row>
    <row r="554" spans="1:6" ht="13.5" x14ac:dyDescent="0.3">
      <c r="A554" s="108" t="s">
        <v>411</v>
      </c>
      <c r="B554" s="92" t="s">
        <v>386</v>
      </c>
      <c r="C554" s="99" t="s">
        <v>826</v>
      </c>
      <c r="D554" s="94">
        <f t="shared" si="42"/>
        <v>41200</v>
      </c>
      <c r="E554" s="94">
        <f t="shared" si="42"/>
        <v>41191.9</v>
      </c>
      <c r="F554" s="95">
        <f t="shared" si="43"/>
        <v>8.0999999999985448</v>
      </c>
    </row>
    <row r="555" spans="1:6" ht="23" x14ac:dyDescent="0.25">
      <c r="A555" s="101" t="s">
        <v>488</v>
      </c>
      <c r="B555" s="105" t="s">
        <v>386</v>
      </c>
      <c r="C555" s="102" t="s">
        <v>827</v>
      </c>
      <c r="D555" s="103">
        <f t="shared" si="42"/>
        <v>41200</v>
      </c>
      <c r="E555" s="103">
        <f t="shared" si="42"/>
        <v>41191.9</v>
      </c>
      <c r="F555" s="104">
        <f t="shared" si="43"/>
        <v>8.0999999999985448</v>
      </c>
    </row>
    <row r="556" spans="1:6" ht="34.5" x14ac:dyDescent="0.25">
      <c r="A556" s="101" t="s">
        <v>394</v>
      </c>
      <c r="B556" s="105" t="s">
        <v>386</v>
      </c>
      <c r="C556" s="102" t="s">
        <v>828</v>
      </c>
      <c r="D556" s="103">
        <f t="shared" si="42"/>
        <v>41200</v>
      </c>
      <c r="E556" s="103">
        <f t="shared" si="42"/>
        <v>41191.9</v>
      </c>
      <c r="F556" s="104">
        <f t="shared" si="43"/>
        <v>8.0999999999985448</v>
      </c>
    </row>
    <row r="557" spans="1:6" x14ac:dyDescent="0.25">
      <c r="A557" s="101" t="s">
        <v>396</v>
      </c>
      <c r="B557" s="105" t="s">
        <v>386</v>
      </c>
      <c r="C557" s="102" t="s">
        <v>829</v>
      </c>
      <c r="D557" s="103">
        <f>103300-62100</f>
        <v>41200</v>
      </c>
      <c r="E557" s="103">
        <f>41191.9</f>
        <v>41191.9</v>
      </c>
      <c r="F557" s="104">
        <f t="shared" si="43"/>
        <v>8.0999999999985448</v>
      </c>
    </row>
    <row r="558" spans="1:6" s="55" customFormat="1" ht="103.5" x14ac:dyDescent="0.3">
      <c r="A558" s="100" t="s">
        <v>830</v>
      </c>
      <c r="B558" s="92" t="s">
        <v>386</v>
      </c>
      <c r="C558" s="99" t="s">
        <v>831</v>
      </c>
      <c r="D558" s="94">
        <f t="shared" ref="D558:E564" si="44">D559</f>
        <v>520826</v>
      </c>
      <c r="E558" s="94">
        <f t="shared" si="44"/>
        <v>519274.59</v>
      </c>
      <c r="F558" s="95">
        <f t="shared" si="43"/>
        <v>1551.4099999999744</v>
      </c>
    </row>
    <row r="559" spans="1:6" s="55" customFormat="1" ht="23" x14ac:dyDescent="0.3">
      <c r="A559" s="101" t="s">
        <v>488</v>
      </c>
      <c r="B559" s="105" t="s">
        <v>386</v>
      </c>
      <c r="C559" s="102" t="s">
        <v>832</v>
      </c>
      <c r="D559" s="103">
        <f t="shared" si="44"/>
        <v>520826</v>
      </c>
      <c r="E559" s="103">
        <f t="shared" si="44"/>
        <v>519274.59</v>
      </c>
      <c r="F559" s="104">
        <f t="shared" si="43"/>
        <v>1551.4099999999744</v>
      </c>
    </row>
    <row r="560" spans="1:6" s="55" customFormat="1" ht="34.5" x14ac:dyDescent="0.3">
      <c r="A560" s="101" t="s">
        <v>394</v>
      </c>
      <c r="B560" s="105" t="s">
        <v>386</v>
      </c>
      <c r="C560" s="102" t="s">
        <v>833</v>
      </c>
      <c r="D560" s="103">
        <f t="shared" si="44"/>
        <v>520826</v>
      </c>
      <c r="E560" s="103">
        <f t="shared" si="44"/>
        <v>519274.59</v>
      </c>
      <c r="F560" s="104">
        <f t="shared" si="43"/>
        <v>1551.4099999999744</v>
      </c>
    </row>
    <row r="561" spans="1:6" s="55" customFormat="1" ht="13" x14ac:dyDescent="0.3">
      <c r="A561" s="101" t="s">
        <v>396</v>
      </c>
      <c r="B561" s="105" t="s">
        <v>386</v>
      </c>
      <c r="C561" s="102" t="s">
        <v>834</v>
      </c>
      <c r="D561" s="103">
        <v>520826</v>
      </c>
      <c r="E561" s="103">
        <v>519274.59</v>
      </c>
      <c r="F561" s="104">
        <f t="shared" si="43"/>
        <v>1551.4099999999744</v>
      </c>
    </row>
    <row r="562" spans="1:6" s="55" customFormat="1" ht="115" x14ac:dyDescent="0.3">
      <c r="A562" s="100" t="s">
        <v>835</v>
      </c>
      <c r="B562" s="92" t="s">
        <v>386</v>
      </c>
      <c r="C562" s="99" t="s">
        <v>836</v>
      </c>
      <c r="D562" s="94">
        <f t="shared" si="44"/>
        <v>37820</v>
      </c>
      <c r="E562" s="94">
        <f t="shared" si="44"/>
        <v>32450</v>
      </c>
      <c r="F562" s="95">
        <f t="shared" si="43"/>
        <v>5370</v>
      </c>
    </row>
    <row r="563" spans="1:6" s="55" customFormat="1" ht="23" x14ac:dyDescent="0.3">
      <c r="A563" s="101" t="s">
        <v>488</v>
      </c>
      <c r="B563" s="105" t="s">
        <v>386</v>
      </c>
      <c r="C563" s="102" t="s">
        <v>837</v>
      </c>
      <c r="D563" s="103">
        <f t="shared" si="44"/>
        <v>37820</v>
      </c>
      <c r="E563" s="103">
        <f t="shared" si="44"/>
        <v>32450</v>
      </c>
      <c r="F563" s="104">
        <f t="shared" si="43"/>
        <v>5370</v>
      </c>
    </row>
    <row r="564" spans="1:6" s="55" customFormat="1" ht="34.5" x14ac:dyDescent="0.3">
      <c r="A564" s="101" t="s">
        <v>394</v>
      </c>
      <c r="B564" s="105" t="s">
        <v>386</v>
      </c>
      <c r="C564" s="102" t="s">
        <v>838</v>
      </c>
      <c r="D564" s="103">
        <f t="shared" si="44"/>
        <v>37820</v>
      </c>
      <c r="E564" s="103">
        <f t="shared" si="44"/>
        <v>32450</v>
      </c>
      <c r="F564" s="104">
        <f t="shared" si="43"/>
        <v>5370</v>
      </c>
    </row>
    <row r="565" spans="1:6" s="55" customFormat="1" ht="13" x14ac:dyDescent="0.3">
      <c r="A565" s="101" t="s">
        <v>396</v>
      </c>
      <c r="B565" s="105" t="s">
        <v>386</v>
      </c>
      <c r="C565" s="102" t="s">
        <v>839</v>
      </c>
      <c r="D565" s="103">
        <f>D570+D574</f>
        <v>37820</v>
      </c>
      <c r="E565" s="103">
        <f>E570+E574</f>
        <v>32450</v>
      </c>
      <c r="F565" s="104">
        <f t="shared" si="43"/>
        <v>5370</v>
      </c>
    </row>
    <row r="566" spans="1:6" s="55" customFormat="1" ht="13" x14ac:dyDescent="0.3">
      <c r="A566" s="101" t="s">
        <v>121</v>
      </c>
      <c r="B566" s="105"/>
      <c r="C566" s="102"/>
      <c r="D566" s="103"/>
      <c r="E566" s="103"/>
      <c r="F566" s="104"/>
    </row>
    <row r="567" spans="1:6" s="55" customFormat="1" ht="13" x14ac:dyDescent="0.3">
      <c r="A567" s="126" t="s">
        <v>410</v>
      </c>
      <c r="B567" s="92" t="s">
        <v>386</v>
      </c>
      <c r="C567" s="99" t="s">
        <v>836</v>
      </c>
      <c r="D567" s="94">
        <f t="shared" ref="D567:E573" si="45">D568</f>
        <v>10060</v>
      </c>
      <c r="E567" s="94">
        <f t="shared" si="45"/>
        <v>10059.56</v>
      </c>
      <c r="F567" s="95">
        <f t="shared" ref="F567:F596" si="46">D567-E567</f>
        <v>0.44000000000050932</v>
      </c>
    </row>
    <row r="568" spans="1:6" s="55" customFormat="1" ht="23" x14ac:dyDescent="0.3">
      <c r="A568" s="101" t="s">
        <v>488</v>
      </c>
      <c r="B568" s="105" t="s">
        <v>386</v>
      </c>
      <c r="C568" s="102" t="s">
        <v>837</v>
      </c>
      <c r="D568" s="103">
        <f t="shared" si="45"/>
        <v>10060</v>
      </c>
      <c r="E568" s="103">
        <f t="shared" si="45"/>
        <v>10059.56</v>
      </c>
      <c r="F568" s="104">
        <f t="shared" si="46"/>
        <v>0.44000000000050932</v>
      </c>
    </row>
    <row r="569" spans="1:6" s="55" customFormat="1" ht="34.5" x14ac:dyDescent="0.3">
      <c r="A569" s="101" t="s">
        <v>394</v>
      </c>
      <c r="B569" s="105" t="s">
        <v>386</v>
      </c>
      <c r="C569" s="102" t="s">
        <v>838</v>
      </c>
      <c r="D569" s="103">
        <f t="shared" si="45"/>
        <v>10060</v>
      </c>
      <c r="E569" s="103">
        <f t="shared" si="45"/>
        <v>10059.56</v>
      </c>
      <c r="F569" s="104">
        <f t="shared" si="46"/>
        <v>0.44000000000050932</v>
      </c>
    </row>
    <row r="570" spans="1:6" s="55" customFormat="1" ht="13" x14ac:dyDescent="0.3">
      <c r="A570" s="101" t="s">
        <v>396</v>
      </c>
      <c r="B570" s="105" t="s">
        <v>386</v>
      </c>
      <c r="C570" s="102" t="s">
        <v>839</v>
      </c>
      <c r="D570" s="103">
        <v>10060</v>
      </c>
      <c r="E570" s="103">
        <f>10059.56</f>
        <v>10059.56</v>
      </c>
      <c r="F570" s="104">
        <f t="shared" si="46"/>
        <v>0.44000000000050932</v>
      </c>
    </row>
    <row r="571" spans="1:6" s="55" customFormat="1" ht="13" x14ac:dyDescent="0.3">
      <c r="A571" s="126" t="s">
        <v>411</v>
      </c>
      <c r="B571" s="92" t="s">
        <v>386</v>
      </c>
      <c r="C571" s="99" t="s">
        <v>836</v>
      </c>
      <c r="D571" s="94">
        <f t="shared" si="45"/>
        <v>27760</v>
      </c>
      <c r="E571" s="94">
        <f t="shared" si="45"/>
        <v>22390.44</v>
      </c>
      <c r="F571" s="95">
        <f t="shared" si="46"/>
        <v>5369.5600000000013</v>
      </c>
    </row>
    <row r="572" spans="1:6" s="55" customFormat="1" ht="23" x14ac:dyDescent="0.3">
      <c r="A572" s="101" t="s">
        <v>488</v>
      </c>
      <c r="B572" s="105" t="s">
        <v>386</v>
      </c>
      <c r="C572" s="102" t="s">
        <v>837</v>
      </c>
      <c r="D572" s="103">
        <f t="shared" si="45"/>
        <v>27760</v>
      </c>
      <c r="E572" s="103">
        <f t="shared" si="45"/>
        <v>22390.44</v>
      </c>
      <c r="F572" s="104">
        <f t="shared" si="46"/>
        <v>5369.5600000000013</v>
      </c>
    </row>
    <row r="573" spans="1:6" s="55" customFormat="1" ht="34.5" x14ac:dyDescent="0.3">
      <c r="A573" s="101" t="s">
        <v>394</v>
      </c>
      <c r="B573" s="105" t="s">
        <v>386</v>
      </c>
      <c r="C573" s="102" t="s">
        <v>838</v>
      </c>
      <c r="D573" s="103">
        <f t="shared" si="45"/>
        <v>27760</v>
      </c>
      <c r="E573" s="103">
        <f t="shared" si="45"/>
        <v>22390.44</v>
      </c>
      <c r="F573" s="104">
        <f t="shared" si="46"/>
        <v>5369.5600000000013</v>
      </c>
    </row>
    <row r="574" spans="1:6" s="55" customFormat="1" ht="13" x14ac:dyDescent="0.3">
      <c r="A574" s="101" t="s">
        <v>396</v>
      </c>
      <c r="B574" s="105" t="s">
        <v>386</v>
      </c>
      <c r="C574" s="102" t="s">
        <v>839</v>
      </c>
      <c r="D574" s="103">
        <v>27760</v>
      </c>
      <c r="E574" s="103">
        <f>22390.44</f>
        <v>22390.44</v>
      </c>
      <c r="F574" s="104">
        <f t="shared" si="46"/>
        <v>5369.5600000000013</v>
      </c>
    </row>
    <row r="575" spans="1:6" s="55" customFormat="1" ht="16.5" hidden="1" customHeight="1" x14ac:dyDescent="0.3">
      <c r="A575" s="100" t="s">
        <v>840</v>
      </c>
      <c r="B575" s="92" t="s">
        <v>386</v>
      </c>
      <c r="C575" s="99" t="s">
        <v>841</v>
      </c>
      <c r="D575" s="94">
        <f t="shared" ref="D575:E581" si="47">D576</f>
        <v>0</v>
      </c>
      <c r="E575" s="94">
        <f t="shared" si="47"/>
        <v>0</v>
      </c>
      <c r="F575" s="95">
        <f t="shared" si="46"/>
        <v>0</v>
      </c>
    </row>
    <row r="576" spans="1:6" s="55" customFormat="1" ht="23" hidden="1" x14ac:dyDescent="0.3">
      <c r="A576" s="101" t="s">
        <v>488</v>
      </c>
      <c r="B576" s="105" t="s">
        <v>386</v>
      </c>
      <c r="C576" s="102" t="s">
        <v>842</v>
      </c>
      <c r="D576" s="103">
        <f t="shared" si="47"/>
        <v>0</v>
      </c>
      <c r="E576" s="103">
        <f t="shared" si="47"/>
        <v>0</v>
      </c>
      <c r="F576" s="104">
        <f t="shared" si="46"/>
        <v>0</v>
      </c>
    </row>
    <row r="577" spans="1:6" s="55" customFormat="1" ht="34.5" hidden="1" x14ac:dyDescent="0.3">
      <c r="A577" s="101" t="s">
        <v>394</v>
      </c>
      <c r="B577" s="105" t="s">
        <v>386</v>
      </c>
      <c r="C577" s="102" t="s">
        <v>843</v>
      </c>
      <c r="D577" s="103">
        <f t="shared" si="47"/>
        <v>0</v>
      </c>
      <c r="E577" s="103">
        <f t="shared" si="47"/>
        <v>0</v>
      </c>
      <c r="F577" s="104">
        <f t="shared" si="46"/>
        <v>0</v>
      </c>
    </row>
    <row r="578" spans="1:6" s="55" customFormat="1" ht="13" hidden="1" x14ac:dyDescent="0.3">
      <c r="A578" s="101" t="s">
        <v>396</v>
      </c>
      <c r="B578" s="105" t="s">
        <v>386</v>
      </c>
      <c r="C578" s="102" t="s">
        <v>844</v>
      </c>
      <c r="D578" s="103"/>
      <c r="E578" s="103"/>
      <c r="F578" s="104">
        <f t="shared" si="46"/>
        <v>0</v>
      </c>
    </row>
    <row r="579" spans="1:6" s="55" customFormat="1" ht="34.5" x14ac:dyDescent="0.3">
      <c r="A579" s="100" t="s">
        <v>845</v>
      </c>
      <c r="B579" s="92" t="s">
        <v>386</v>
      </c>
      <c r="C579" s="99" t="s">
        <v>846</v>
      </c>
      <c r="D579" s="94">
        <f t="shared" si="47"/>
        <v>233750</v>
      </c>
      <c r="E579" s="94">
        <f t="shared" si="47"/>
        <v>233750</v>
      </c>
      <c r="F579" s="95">
        <f>D579-E579</f>
        <v>0</v>
      </c>
    </row>
    <row r="580" spans="1:6" s="55" customFormat="1" ht="23" x14ac:dyDescent="0.3">
      <c r="A580" s="101" t="s">
        <v>488</v>
      </c>
      <c r="B580" s="105" t="s">
        <v>386</v>
      </c>
      <c r="C580" s="102" t="s">
        <v>847</v>
      </c>
      <c r="D580" s="103">
        <f t="shared" si="47"/>
        <v>233750</v>
      </c>
      <c r="E580" s="103">
        <f t="shared" si="47"/>
        <v>233750</v>
      </c>
      <c r="F580" s="104">
        <f>D580-E580</f>
        <v>0</v>
      </c>
    </row>
    <row r="581" spans="1:6" s="55" customFormat="1" ht="34.5" x14ac:dyDescent="0.3">
      <c r="A581" s="101" t="s">
        <v>394</v>
      </c>
      <c r="B581" s="105" t="s">
        <v>386</v>
      </c>
      <c r="C581" s="102" t="s">
        <v>848</v>
      </c>
      <c r="D581" s="103">
        <f t="shared" si="47"/>
        <v>233750</v>
      </c>
      <c r="E581" s="103">
        <f t="shared" si="47"/>
        <v>233750</v>
      </c>
      <c r="F581" s="104">
        <f>D581-E581</f>
        <v>0</v>
      </c>
    </row>
    <row r="582" spans="1:6" s="55" customFormat="1" ht="13" x14ac:dyDescent="0.3">
      <c r="A582" s="101" t="s">
        <v>396</v>
      </c>
      <c r="B582" s="105" t="s">
        <v>386</v>
      </c>
      <c r="C582" s="102" t="s">
        <v>849</v>
      </c>
      <c r="D582" s="103">
        <v>233750</v>
      </c>
      <c r="E582" s="103">
        <v>233750</v>
      </c>
      <c r="F582" s="104">
        <f>D582-E582</f>
        <v>0</v>
      </c>
    </row>
    <row r="583" spans="1:6" s="55" customFormat="1" ht="80.5" x14ac:dyDescent="0.3">
      <c r="A583" s="100" t="s">
        <v>850</v>
      </c>
      <c r="B583" s="92" t="s">
        <v>386</v>
      </c>
      <c r="C583" s="99" t="s">
        <v>851</v>
      </c>
      <c r="D583" s="94">
        <f>D584</f>
        <v>791271</v>
      </c>
      <c r="E583" s="94">
        <f>E584</f>
        <v>791271</v>
      </c>
      <c r="F583" s="95">
        <f t="shared" si="46"/>
        <v>0</v>
      </c>
    </row>
    <row r="584" spans="1:6" s="55" customFormat="1" ht="13" x14ac:dyDescent="0.3">
      <c r="A584" s="101" t="s">
        <v>670</v>
      </c>
      <c r="B584" s="105" t="s">
        <v>386</v>
      </c>
      <c r="C584" s="102" t="s">
        <v>852</v>
      </c>
      <c r="D584" s="103">
        <f>D585</f>
        <v>791271</v>
      </c>
      <c r="E584" s="103">
        <f>E585</f>
        <v>791271</v>
      </c>
      <c r="F584" s="104">
        <f t="shared" si="46"/>
        <v>0</v>
      </c>
    </row>
    <row r="585" spans="1:6" s="55" customFormat="1" ht="13" x14ac:dyDescent="0.3">
      <c r="A585" s="101" t="s">
        <v>672</v>
      </c>
      <c r="B585" s="105" t="s">
        <v>386</v>
      </c>
      <c r="C585" s="102" t="s">
        <v>853</v>
      </c>
      <c r="D585" s="103">
        <v>791271</v>
      </c>
      <c r="E585" s="103">
        <v>791271</v>
      </c>
      <c r="F585" s="104">
        <f t="shared" si="46"/>
        <v>0</v>
      </c>
    </row>
    <row r="586" spans="1:6" s="55" customFormat="1" ht="34.5" x14ac:dyDescent="0.3">
      <c r="A586" s="100" t="s">
        <v>854</v>
      </c>
      <c r="B586" s="92" t="s">
        <v>386</v>
      </c>
      <c r="C586" s="118" t="s">
        <v>855</v>
      </c>
      <c r="D586" s="94">
        <f>D587+D611</f>
        <v>1631259</v>
      </c>
      <c r="E586" s="94">
        <f>E587+E611</f>
        <v>1453100.73</v>
      </c>
      <c r="F586" s="95">
        <f t="shared" si="46"/>
        <v>178158.27000000002</v>
      </c>
    </row>
    <row r="587" spans="1:6" s="55" customFormat="1" ht="39" x14ac:dyDescent="0.3">
      <c r="A587" s="127" t="s">
        <v>856</v>
      </c>
      <c r="B587" s="92" t="s">
        <v>386</v>
      </c>
      <c r="C587" s="99" t="s">
        <v>857</v>
      </c>
      <c r="D587" s="94">
        <f>D588+D593+D606</f>
        <v>1621259</v>
      </c>
      <c r="E587" s="94">
        <f>E588+E593+E606</f>
        <v>1453100.73</v>
      </c>
      <c r="F587" s="95">
        <f t="shared" si="46"/>
        <v>168158.27000000002</v>
      </c>
    </row>
    <row r="588" spans="1:6" s="55" customFormat="1" ht="60" customHeight="1" x14ac:dyDescent="0.3">
      <c r="A588" s="100" t="s">
        <v>858</v>
      </c>
      <c r="B588" s="92" t="s">
        <v>386</v>
      </c>
      <c r="C588" s="99" t="s">
        <v>859</v>
      </c>
      <c r="D588" s="94">
        <f>D589</f>
        <v>98729</v>
      </c>
      <c r="E588" s="94">
        <f>E589</f>
        <v>9672</v>
      </c>
      <c r="F588" s="95">
        <f t="shared" si="46"/>
        <v>89057</v>
      </c>
    </row>
    <row r="589" spans="1:6" s="55" customFormat="1" ht="23" x14ac:dyDescent="0.3">
      <c r="A589" s="101" t="s">
        <v>488</v>
      </c>
      <c r="B589" s="105" t="s">
        <v>386</v>
      </c>
      <c r="C589" s="102" t="s">
        <v>860</v>
      </c>
      <c r="D589" s="103">
        <f>D590</f>
        <v>98729</v>
      </c>
      <c r="E589" s="103">
        <f>E590</f>
        <v>9672</v>
      </c>
      <c r="F589" s="104">
        <f t="shared" si="46"/>
        <v>89057</v>
      </c>
    </row>
    <row r="590" spans="1:6" s="55" customFormat="1" ht="34.5" x14ac:dyDescent="0.3">
      <c r="A590" s="101" t="s">
        <v>394</v>
      </c>
      <c r="B590" s="105" t="s">
        <v>386</v>
      </c>
      <c r="C590" s="102" t="s">
        <v>861</v>
      </c>
      <c r="D590" s="103">
        <f>SUM(D591:D592)</f>
        <v>98729</v>
      </c>
      <c r="E590" s="103">
        <f>SUM(E591:E592)</f>
        <v>9672</v>
      </c>
      <c r="F590" s="104">
        <f t="shared" si="46"/>
        <v>89057</v>
      </c>
    </row>
    <row r="591" spans="1:6" s="55" customFormat="1" ht="34.5" x14ac:dyDescent="0.3">
      <c r="A591" s="101" t="s">
        <v>491</v>
      </c>
      <c r="B591" s="105" t="s">
        <v>386</v>
      </c>
      <c r="C591" s="102" t="s">
        <v>862</v>
      </c>
      <c r="D591" s="103">
        <v>80492</v>
      </c>
      <c r="E591" s="103"/>
      <c r="F591" s="104">
        <f>D591-E591</f>
        <v>80492</v>
      </c>
    </row>
    <row r="592" spans="1:6" s="55" customFormat="1" ht="13" x14ac:dyDescent="0.3">
      <c r="A592" s="101" t="s">
        <v>396</v>
      </c>
      <c r="B592" s="105" t="s">
        <v>386</v>
      </c>
      <c r="C592" s="102" t="s">
        <v>863</v>
      </c>
      <c r="D592" s="103">
        <v>18237</v>
      </c>
      <c r="E592" s="103">
        <v>9672</v>
      </c>
      <c r="F592" s="104">
        <f t="shared" si="46"/>
        <v>8565</v>
      </c>
    </row>
    <row r="593" spans="1:6" s="55" customFormat="1" ht="57.5" x14ac:dyDescent="0.3">
      <c r="A593" s="100" t="s">
        <v>864</v>
      </c>
      <c r="B593" s="92" t="s">
        <v>386</v>
      </c>
      <c r="C593" s="99" t="s">
        <v>865</v>
      </c>
      <c r="D593" s="94">
        <f t="shared" ref="D593:E600" si="48">D594</f>
        <v>1372530</v>
      </c>
      <c r="E593" s="94">
        <f t="shared" si="48"/>
        <v>1360098.73</v>
      </c>
      <c r="F593" s="95">
        <f t="shared" si="46"/>
        <v>12431.270000000019</v>
      </c>
    </row>
    <row r="594" spans="1:6" s="55" customFormat="1" ht="23" x14ac:dyDescent="0.3">
      <c r="A594" s="101" t="s">
        <v>488</v>
      </c>
      <c r="B594" s="105" t="s">
        <v>386</v>
      </c>
      <c r="C594" s="102" t="s">
        <v>866</v>
      </c>
      <c r="D594" s="103">
        <f t="shared" si="48"/>
        <v>1372530</v>
      </c>
      <c r="E594" s="103">
        <f t="shared" si="48"/>
        <v>1360098.73</v>
      </c>
      <c r="F594" s="104">
        <f t="shared" si="46"/>
        <v>12431.270000000019</v>
      </c>
    </row>
    <row r="595" spans="1:6" s="55" customFormat="1" ht="34.5" x14ac:dyDescent="0.3">
      <c r="A595" s="101" t="s">
        <v>394</v>
      </c>
      <c r="B595" s="105" t="s">
        <v>386</v>
      </c>
      <c r="C595" s="102" t="s">
        <v>867</v>
      </c>
      <c r="D595" s="103">
        <f t="shared" si="48"/>
        <v>1372530</v>
      </c>
      <c r="E595" s="103">
        <f t="shared" si="48"/>
        <v>1360098.73</v>
      </c>
      <c r="F595" s="104">
        <f t="shared" si="46"/>
        <v>12431.270000000019</v>
      </c>
    </row>
    <row r="596" spans="1:6" s="55" customFormat="1" ht="13" x14ac:dyDescent="0.3">
      <c r="A596" s="101" t="s">
        <v>396</v>
      </c>
      <c r="B596" s="105" t="s">
        <v>386</v>
      </c>
      <c r="C596" s="102" t="s">
        <v>868</v>
      </c>
      <c r="D596" s="103">
        <f>D601+D605</f>
        <v>1372530</v>
      </c>
      <c r="E596" s="103">
        <f>E601+E605</f>
        <v>1360098.73</v>
      </c>
      <c r="F596" s="104">
        <f t="shared" si="46"/>
        <v>12431.270000000019</v>
      </c>
    </row>
    <row r="597" spans="1:6" s="55" customFormat="1" ht="13" x14ac:dyDescent="0.3">
      <c r="A597" s="100" t="s">
        <v>121</v>
      </c>
      <c r="B597" s="105"/>
      <c r="C597" s="102"/>
      <c r="D597" s="103"/>
      <c r="E597" s="103"/>
      <c r="F597" s="104"/>
    </row>
    <row r="598" spans="1:6" s="55" customFormat="1" ht="13" x14ac:dyDescent="0.3">
      <c r="A598" s="126" t="s">
        <v>410</v>
      </c>
      <c r="B598" s="92" t="s">
        <v>386</v>
      </c>
      <c r="C598" s="99" t="s">
        <v>865</v>
      </c>
      <c r="D598" s="94">
        <f t="shared" si="48"/>
        <v>700000</v>
      </c>
      <c r="E598" s="94">
        <f t="shared" si="48"/>
        <v>693650.35</v>
      </c>
      <c r="F598" s="95">
        <f t="shared" ref="F598:F693" si="49">D598-E598</f>
        <v>6349.6500000000233</v>
      </c>
    </row>
    <row r="599" spans="1:6" s="55" customFormat="1" ht="23" x14ac:dyDescent="0.3">
      <c r="A599" s="101" t="s">
        <v>488</v>
      </c>
      <c r="B599" s="105" t="s">
        <v>386</v>
      </c>
      <c r="C599" s="102" t="s">
        <v>866</v>
      </c>
      <c r="D599" s="103">
        <f t="shared" si="48"/>
        <v>700000</v>
      </c>
      <c r="E599" s="103">
        <f t="shared" si="48"/>
        <v>693650.35</v>
      </c>
      <c r="F599" s="104">
        <f t="shared" si="49"/>
        <v>6349.6500000000233</v>
      </c>
    </row>
    <row r="600" spans="1:6" s="55" customFormat="1" ht="34.5" x14ac:dyDescent="0.3">
      <c r="A600" s="101" t="s">
        <v>394</v>
      </c>
      <c r="B600" s="105" t="s">
        <v>386</v>
      </c>
      <c r="C600" s="102" t="s">
        <v>867</v>
      </c>
      <c r="D600" s="103">
        <f t="shared" si="48"/>
        <v>700000</v>
      </c>
      <c r="E600" s="103">
        <f t="shared" si="48"/>
        <v>693650.35</v>
      </c>
      <c r="F600" s="104">
        <f t="shared" si="49"/>
        <v>6349.6500000000233</v>
      </c>
    </row>
    <row r="601" spans="1:6" s="55" customFormat="1" ht="13" x14ac:dyDescent="0.3">
      <c r="A601" s="101" t="s">
        <v>396</v>
      </c>
      <c r="B601" s="105" t="s">
        <v>386</v>
      </c>
      <c r="C601" s="102" t="s">
        <v>868</v>
      </c>
      <c r="D601" s="103">
        <v>700000</v>
      </c>
      <c r="E601" s="103">
        <f>693650.35</f>
        <v>693650.35</v>
      </c>
      <c r="F601" s="104">
        <f t="shared" si="49"/>
        <v>6349.6500000000233</v>
      </c>
    </row>
    <row r="602" spans="1:6" s="55" customFormat="1" ht="13" x14ac:dyDescent="0.3">
      <c r="A602" s="126" t="s">
        <v>411</v>
      </c>
      <c r="B602" s="92" t="s">
        <v>386</v>
      </c>
      <c r="C602" s="99" t="s">
        <v>865</v>
      </c>
      <c r="D602" s="94">
        <f t="shared" ref="D602:E604" si="50">D603</f>
        <v>672530</v>
      </c>
      <c r="E602" s="94">
        <f t="shared" si="50"/>
        <v>666448.38</v>
      </c>
      <c r="F602" s="95">
        <f t="shared" si="49"/>
        <v>6081.6199999999953</v>
      </c>
    </row>
    <row r="603" spans="1:6" s="55" customFormat="1" ht="23" x14ac:dyDescent="0.3">
      <c r="A603" s="101" t="s">
        <v>488</v>
      </c>
      <c r="B603" s="105" t="s">
        <v>386</v>
      </c>
      <c r="C603" s="102" t="s">
        <v>866</v>
      </c>
      <c r="D603" s="103">
        <f t="shared" si="50"/>
        <v>672530</v>
      </c>
      <c r="E603" s="103">
        <f t="shared" si="50"/>
        <v>666448.38</v>
      </c>
      <c r="F603" s="104">
        <f t="shared" si="49"/>
        <v>6081.6199999999953</v>
      </c>
    </row>
    <row r="604" spans="1:6" s="55" customFormat="1" ht="34.5" x14ac:dyDescent="0.3">
      <c r="A604" s="101" t="s">
        <v>394</v>
      </c>
      <c r="B604" s="105" t="s">
        <v>386</v>
      </c>
      <c r="C604" s="102" t="s">
        <v>867</v>
      </c>
      <c r="D604" s="103">
        <f t="shared" si="50"/>
        <v>672530</v>
      </c>
      <c r="E604" s="103">
        <f t="shared" si="50"/>
        <v>666448.38</v>
      </c>
      <c r="F604" s="104">
        <f t="shared" si="49"/>
        <v>6081.6199999999953</v>
      </c>
    </row>
    <row r="605" spans="1:6" s="55" customFormat="1" ht="13" x14ac:dyDescent="0.3">
      <c r="A605" s="101" t="s">
        <v>396</v>
      </c>
      <c r="B605" s="105" t="s">
        <v>386</v>
      </c>
      <c r="C605" s="102" t="s">
        <v>868</v>
      </c>
      <c r="D605" s="103">
        <v>672530</v>
      </c>
      <c r="E605" s="103">
        <f>666448.38</f>
        <v>666448.38</v>
      </c>
      <c r="F605" s="104">
        <f t="shared" si="49"/>
        <v>6081.6199999999953</v>
      </c>
    </row>
    <row r="606" spans="1:6" ht="69" x14ac:dyDescent="0.3">
      <c r="A606" s="100" t="s">
        <v>869</v>
      </c>
      <c r="B606" s="92" t="s">
        <v>386</v>
      </c>
      <c r="C606" s="99" t="s">
        <v>870</v>
      </c>
      <c r="D606" s="94">
        <f>D607</f>
        <v>150000</v>
      </c>
      <c r="E606" s="94">
        <f>E607</f>
        <v>83330</v>
      </c>
      <c r="F606" s="95">
        <f t="shared" si="49"/>
        <v>66670</v>
      </c>
    </row>
    <row r="607" spans="1:6" ht="23" x14ac:dyDescent="0.25">
      <c r="A607" s="101" t="s">
        <v>488</v>
      </c>
      <c r="B607" s="105" t="s">
        <v>386</v>
      </c>
      <c r="C607" s="102" t="s">
        <v>871</v>
      </c>
      <c r="D607" s="103">
        <f>D608</f>
        <v>150000</v>
      </c>
      <c r="E607" s="103">
        <f>E608</f>
        <v>83330</v>
      </c>
      <c r="F607" s="104">
        <f t="shared" si="49"/>
        <v>66670</v>
      </c>
    </row>
    <row r="608" spans="1:6" ht="34.5" x14ac:dyDescent="0.25">
      <c r="A608" s="101" t="s">
        <v>394</v>
      </c>
      <c r="B608" s="105" t="s">
        <v>386</v>
      </c>
      <c r="C608" s="102" t="s">
        <v>872</v>
      </c>
      <c r="D608" s="103">
        <f>D609+D610</f>
        <v>150000</v>
      </c>
      <c r="E608" s="103">
        <f>E609+E610</f>
        <v>83330</v>
      </c>
      <c r="F608" s="104">
        <f t="shared" si="49"/>
        <v>66670</v>
      </c>
    </row>
    <row r="609" spans="1:6" ht="34.5" x14ac:dyDescent="0.25">
      <c r="A609" s="101" t="s">
        <v>491</v>
      </c>
      <c r="B609" s="105" t="s">
        <v>386</v>
      </c>
      <c r="C609" s="102" t="s">
        <v>873</v>
      </c>
      <c r="D609" s="103"/>
      <c r="E609" s="103"/>
      <c r="F609" s="104">
        <f>D609-E609</f>
        <v>0</v>
      </c>
    </row>
    <row r="610" spans="1:6" x14ac:dyDescent="0.25">
      <c r="A610" s="101" t="s">
        <v>396</v>
      </c>
      <c r="B610" s="105" t="s">
        <v>386</v>
      </c>
      <c r="C610" s="102" t="s">
        <v>874</v>
      </c>
      <c r="D610" s="103">
        <v>150000</v>
      </c>
      <c r="E610" s="103">
        <v>83330</v>
      </c>
      <c r="F610" s="104">
        <f t="shared" si="49"/>
        <v>66670</v>
      </c>
    </row>
    <row r="611" spans="1:6" ht="65" x14ac:dyDescent="0.3">
      <c r="A611" s="127" t="s">
        <v>875</v>
      </c>
      <c r="B611" s="92" t="s">
        <v>386</v>
      </c>
      <c r="C611" s="99" t="s">
        <v>876</v>
      </c>
      <c r="D611" s="94">
        <f>D612</f>
        <v>10000</v>
      </c>
      <c r="E611" s="94">
        <f>E612</f>
        <v>0</v>
      </c>
      <c r="F611" s="95">
        <f t="shared" si="49"/>
        <v>10000</v>
      </c>
    </row>
    <row r="612" spans="1:6" ht="92" x14ac:dyDescent="0.3">
      <c r="A612" s="100" t="s">
        <v>877</v>
      </c>
      <c r="B612" s="92" t="s">
        <v>386</v>
      </c>
      <c r="C612" s="99" t="s">
        <v>878</v>
      </c>
      <c r="D612" s="94">
        <f t="shared" ref="D612:E614" si="51">D613</f>
        <v>10000</v>
      </c>
      <c r="E612" s="94">
        <f t="shared" si="51"/>
        <v>0</v>
      </c>
      <c r="F612" s="95">
        <f t="shared" si="49"/>
        <v>10000</v>
      </c>
    </row>
    <row r="613" spans="1:6" ht="23" x14ac:dyDescent="0.25">
      <c r="A613" s="101" t="s">
        <v>488</v>
      </c>
      <c r="B613" s="105" t="s">
        <v>386</v>
      </c>
      <c r="C613" s="102" t="s">
        <v>879</v>
      </c>
      <c r="D613" s="103">
        <f t="shared" si="51"/>
        <v>10000</v>
      </c>
      <c r="E613" s="103">
        <f t="shared" si="51"/>
        <v>0</v>
      </c>
      <c r="F613" s="104">
        <f t="shared" si="49"/>
        <v>10000</v>
      </c>
    </row>
    <row r="614" spans="1:6" ht="34.5" x14ac:dyDescent="0.25">
      <c r="A614" s="101" t="s">
        <v>394</v>
      </c>
      <c r="B614" s="105" t="s">
        <v>386</v>
      </c>
      <c r="C614" s="102" t="s">
        <v>880</v>
      </c>
      <c r="D614" s="103">
        <f t="shared" si="51"/>
        <v>10000</v>
      </c>
      <c r="E614" s="103">
        <f t="shared" si="51"/>
        <v>0</v>
      </c>
      <c r="F614" s="104">
        <f t="shared" si="49"/>
        <v>10000</v>
      </c>
    </row>
    <row r="615" spans="1:6" x14ac:dyDescent="0.25">
      <c r="A615" s="101" t="s">
        <v>396</v>
      </c>
      <c r="B615" s="105" t="s">
        <v>386</v>
      </c>
      <c r="C615" s="102" t="s">
        <v>881</v>
      </c>
      <c r="D615" s="103">
        <v>10000</v>
      </c>
      <c r="E615" s="103"/>
      <c r="F615" s="104">
        <f t="shared" si="49"/>
        <v>10000</v>
      </c>
    </row>
    <row r="616" spans="1:6" ht="13" x14ac:dyDescent="0.3">
      <c r="A616" s="100" t="s">
        <v>882</v>
      </c>
      <c r="B616" s="92" t="s">
        <v>386</v>
      </c>
      <c r="C616" s="118" t="s">
        <v>883</v>
      </c>
      <c r="D616" s="94">
        <f>D617+D640+D665+D724+D646</f>
        <v>141612380</v>
      </c>
      <c r="E616" s="94">
        <f>E617+E640+E665+E724+E646</f>
        <v>127524641.91999999</v>
      </c>
      <c r="F616" s="95">
        <f t="shared" si="49"/>
        <v>14087738.080000013</v>
      </c>
    </row>
    <row r="617" spans="1:6" ht="13" x14ac:dyDescent="0.3">
      <c r="A617" s="100" t="s">
        <v>884</v>
      </c>
      <c r="B617" s="92" t="s">
        <v>386</v>
      </c>
      <c r="C617" s="118" t="s">
        <v>885</v>
      </c>
      <c r="D617" s="94">
        <f>D618</f>
        <v>2318000</v>
      </c>
      <c r="E617" s="94">
        <f>E618</f>
        <v>2311500</v>
      </c>
      <c r="F617" s="95">
        <f t="shared" si="49"/>
        <v>6500</v>
      </c>
    </row>
    <row r="618" spans="1:6" ht="23" x14ac:dyDescent="0.3">
      <c r="A618" s="100" t="s">
        <v>886</v>
      </c>
      <c r="B618" s="92" t="s">
        <v>386</v>
      </c>
      <c r="C618" s="99" t="s">
        <v>887</v>
      </c>
      <c r="D618" s="94">
        <f>D619+D627+D623</f>
        <v>2318000</v>
      </c>
      <c r="E618" s="94">
        <f>E619+E627+E623</f>
        <v>2311500</v>
      </c>
      <c r="F618" s="95">
        <f t="shared" si="49"/>
        <v>6500</v>
      </c>
    </row>
    <row r="619" spans="1:6" ht="57.5" x14ac:dyDescent="0.3">
      <c r="A619" s="100" t="s">
        <v>888</v>
      </c>
      <c r="B619" s="92" t="s">
        <v>386</v>
      </c>
      <c r="C619" s="99" t="s">
        <v>889</v>
      </c>
      <c r="D619" s="94">
        <f t="shared" ref="D619:E621" si="52">D620</f>
        <v>60000</v>
      </c>
      <c r="E619" s="94">
        <f t="shared" si="52"/>
        <v>53500</v>
      </c>
      <c r="F619" s="95">
        <f t="shared" si="49"/>
        <v>6500</v>
      </c>
    </row>
    <row r="620" spans="1:6" ht="23" x14ac:dyDescent="0.25">
      <c r="A620" s="101" t="s">
        <v>488</v>
      </c>
      <c r="B620" s="105" t="s">
        <v>386</v>
      </c>
      <c r="C620" s="102" t="s">
        <v>890</v>
      </c>
      <c r="D620" s="103">
        <f t="shared" si="52"/>
        <v>60000</v>
      </c>
      <c r="E620" s="103">
        <f t="shared" si="52"/>
        <v>53500</v>
      </c>
      <c r="F620" s="104">
        <f t="shared" si="49"/>
        <v>6500</v>
      </c>
    </row>
    <row r="621" spans="1:6" ht="34.5" x14ac:dyDescent="0.25">
      <c r="A621" s="101" t="s">
        <v>394</v>
      </c>
      <c r="B621" s="105" t="s">
        <v>386</v>
      </c>
      <c r="C621" s="102" t="s">
        <v>891</v>
      </c>
      <c r="D621" s="103">
        <f t="shared" si="52"/>
        <v>60000</v>
      </c>
      <c r="E621" s="103">
        <f t="shared" si="52"/>
        <v>53500</v>
      </c>
      <c r="F621" s="104">
        <f t="shared" si="49"/>
        <v>6500</v>
      </c>
    </row>
    <row r="622" spans="1:6" x14ac:dyDescent="0.25">
      <c r="A622" s="101" t="s">
        <v>396</v>
      </c>
      <c r="B622" s="105" t="s">
        <v>386</v>
      </c>
      <c r="C622" s="102" t="s">
        <v>892</v>
      </c>
      <c r="D622" s="103">
        <v>60000</v>
      </c>
      <c r="E622" s="103">
        <v>53500</v>
      </c>
      <c r="F622" s="104">
        <f t="shared" si="49"/>
        <v>6500</v>
      </c>
    </row>
    <row r="623" spans="1:6" ht="138" hidden="1" x14ac:dyDescent="0.3">
      <c r="A623" s="100" t="s">
        <v>893</v>
      </c>
      <c r="B623" s="92" t="s">
        <v>386</v>
      </c>
      <c r="C623" s="99" t="s">
        <v>894</v>
      </c>
      <c r="D623" s="94">
        <f t="shared" ref="D623:E625" si="53">D624</f>
        <v>0</v>
      </c>
      <c r="E623" s="94">
        <f t="shared" si="53"/>
        <v>0</v>
      </c>
      <c r="F623" s="95">
        <f t="shared" si="49"/>
        <v>0</v>
      </c>
    </row>
    <row r="624" spans="1:6" ht="34.5" hidden="1" x14ac:dyDescent="0.25">
      <c r="A624" s="101" t="s">
        <v>400</v>
      </c>
      <c r="B624" s="105" t="s">
        <v>386</v>
      </c>
      <c r="C624" s="102" t="s">
        <v>895</v>
      </c>
      <c r="D624" s="103">
        <f t="shared" si="53"/>
        <v>0</v>
      </c>
      <c r="E624" s="103">
        <f t="shared" si="53"/>
        <v>0</v>
      </c>
      <c r="F624" s="104">
        <f t="shared" si="49"/>
        <v>0</v>
      </c>
    </row>
    <row r="625" spans="1:6" ht="57.5" hidden="1" x14ac:dyDescent="0.25">
      <c r="A625" s="101" t="s">
        <v>714</v>
      </c>
      <c r="B625" s="105" t="s">
        <v>386</v>
      </c>
      <c r="C625" s="102" t="s">
        <v>896</v>
      </c>
      <c r="D625" s="103">
        <f t="shared" si="53"/>
        <v>0</v>
      </c>
      <c r="E625" s="103">
        <f t="shared" si="53"/>
        <v>0</v>
      </c>
      <c r="F625" s="104">
        <f t="shared" si="49"/>
        <v>0</v>
      </c>
    </row>
    <row r="626" spans="1:6" ht="34.5" hidden="1" x14ac:dyDescent="0.25">
      <c r="A626" s="101" t="s">
        <v>897</v>
      </c>
      <c r="B626" s="105" t="s">
        <v>386</v>
      </c>
      <c r="C626" s="102" t="s">
        <v>898</v>
      </c>
      <c r="D626" s="103"/>
      <c r="E626" s="103"/>
      <c r="F626" s="104">
        <f t="shared" si="49"/>
        <v>0</v>
      </c>
    </row>
    <row r="627" spans="1:6" ht="85.5" customHeight="1" x14ac:dyDescent="0.3">
      <c r="A627" s="100" t="s">
        <v>899</v>
      </c>
      <c r="B627" s="92" t="s">
        <v>386</v>
      </c>
      <c r="C627" s="99" t="s">
        <v>900</v>
      </c>
      <c r="D627" s="94">
        <f t="shared" ref="D627:E629" si="54">D628</f>
        <v>2258000</v>
      </c>
      <c r="E627" s="94">
        <f t="shared" si="54"/>
        <v>2258000</v>
      </c>
      <c r="F627" s="95">
        <f t="shared" si="49"/>
        <v>0</v>
      </c>
    </row>
    <row r="628" spans="1:6" ht="34.5" x14ac:dyDescent="0.25">
      <c r="A628" s="101" t="s">
        <v>400</v>
      </c>
      <c r="B628" s="105" t="s">
        <v>386</v>
      </c>
      <c r="C628" s="102" t="s">
        <v>901</v>
      </c>
      <c r="D628" s="103">
        <f t="shared" si="54"/>
        <v>2258000</v>
      </c>
      <c r="E628" s="103">
        <f t="shared" si="54"/>
        <v>2258000</v>
      </c>
      <c r="F628" s="104">
        <f t="shared" si="49"/>
        <v>0</v>
      </c>
    </row>
    <row r="629" spans="1:6" ht="57.5" x14ac:dyDescent="0.25">
      <c r="A629" s="101" t="s">
        <v>714</v>
      </c>
      <c r="B629" s="105" t="s">
        <v>386</v>
      </c>
      <c r="C629" s="102" t="s">
        <v>902</v>
      </c>
      <c r="D629" s="103">
        <f t="shared" si="54"/>
        <v>2258000</v>
      </c>
      <c r="E629" s="103">
        <f t="shared" si="54"/>
        <v>2258000</v>
      </c>
      <c r="F629" s="104">
        <f t="shared" si="49"/>
        <v>0</v>
      </c>
    </row>
    <row r="630" spans="1:6" ht="34.5" x14ac:dyDescent="0.25">
      <c r="A630" s="101" t="s">
        <v>897</v>
      </c>
      <c r="B630" s="105" t="s">
        <v>386</v>
      </c>
      <c r="C630" s="102" t="s">
        <v>903</v>
      </c>
      <c r="D630" s="103">
        <f>D635+D639</f>
        <v>2258000</v>
      </c>
      <c r="E630" s="103">
        <f>E635+E639</f>
        <v>2258000</v>
      </c>
      <c r="F630" s="104">
        <f t="shared" si="49"/>
        <v>0</v>
      </c>
    </row>
    <row r="631" spans="1:6" ht="13" x14ac:dyDescent="0.25">
      <c r="A631" s="98" t="s">
        <v>121</v>
      </c>
      <c r="B631" s="105"/>
      <c r="C631" s="131"/>
      <c r="D631" s="103"/>
      <c r="E631" s="103"/>
      <c r="F631" s="104"/>
    </row>
    <row r="632" spans="1:6" ht="13.5" x14ac:dyDescent="0.3">
      <c r="A632" s="108" t="s">
        <v>410</v>
      </c>
      <c r="B632" s="92" t="s">
        <v>386</v>
      </c>
      <c r="C632" s="99" t="s">
        <v>900</v>
      </c>
      <c r="D632" s="94">
        <f t="shared" ref="D632:E634" si="55">D633</f>
        <v>700000</v>
      </c>
      <c r="E632" s="94">
        <f t="shared" si="55"/>
        <v>700000</v>
      </c>
      <c r="F632" s="95">
        <f t="shared" ref="F632:F639" si="56">D632-E632</f>
        <v>0</v>
      </c>
    </row>
    <row r="633" spans="1:6" ht="34.5" x14ac:dyDescent="0.25">
      <c r="A633" s="101" t="s">
        <v>400</v>
      </c>
      <c r="B633" s="105" t="s">
        <v>386</v>
      </c>
      <c r="C633" s="102" t="s">
        <v>901</v>
      </c>
      <c r="D633" s="103">
        <f t="shared" si="55"/>
        <v>700000</v>
      </c>
      <c r="E633" s="103">
        <f t="shared" si="55"/>
        <v>700000</v>
      </c>
      <c r="F633" s="104">
        <f t="shared" si="56"/>
        <v>0</v>
      </c>
    </row>
    <row r="634" spans="1:6" ht="57.5" x14ac:dyDescent="0.25">
      <c r="A634" s="101" t="s">
        <v>714</v>
      </c>
      <c r="B634" s="105" t="s">
        <v>386</v>
      </c>
      <c r="C634" s="102" t="s">
        <v>902</v>
      </c>
      <c r="D634" s="103">
        <f t="shared" si="55"/>
        <v>700000</v>
      </c>
      <c r="E634" s="103">
        <f t="shared" si="55"/>
        <v>700000</v>
      </c>
      <c r="F634" s="104">
        <f t="shared" si="56"/>
        <v>0</v>
      </c>
    </row>
    <row r="635" spans="1:6" ht="34.5" x14ac:dyDescent="0.25">
      <c r="A635" s="101" t="s">
        <v>897</v>
      </c>
      <c r="B635" s="105" t="s">
        <v>386</v>
      </c>
      <c r="C635" s="102" t="s">
        <v>903</v>
      </c>
      <c r="D635" s="103">
        <f>700000</f>
        <v>700000</v>
      </c>
      <c r="E635" s="103">
        <f>700000</f>
        <v>700000</v>
      </c>
      <c r="F635" s="104">
        <f t="shared" si="56"/>
        <v>0</v>
      </c>
    </row>
    <row r="636" spans="1:6" ht="13.5" x14ac:dyDescent="0.3">
      <c r="A636" s="108" t="s">
        <v>411</v>
      </c>
      <c r="B636" s="92" t="s">
        <v>386</v>
      </c>
      <c r="C636" s="99" t="s">
        <v>900</v>
      </c>
      <c r="D636" s="94">
        <f t="shared" ref="D636:E638" si="57">D637</f>
        <v>1558000</v>
      </c>
      <c r="E636" s="94">
        <f t="shared" si="57"/>
        <v>1558000</v>
      </c>
      <c r="F636" s="95">
        <f t="shared" si="56"/>
        <v>0</v>
      </c>
    </row>
    <row r="637" spans="1:6" ht="34.5" x14ac:dyDescent="0.25">
      <c r="A637" s="101" t="s">
        <v>400</v>
      </c>
      <c r="B637" s="105" t="s">
        <v>386</v>
      </c>
      <c r="C637" s="102" t="s">
        <v>901</v>
      </c>
      <c r="D637" s="103">
        <f t="shared" si="57"/>
        <v>1558000</v>
      </c>
      <c r="E637" s="103">
        <f t="shared" si="57"/>
        <v>1558000</v>
      </c>
      <c r="F637" s="104">
        <f t="shared" si="56"/>
        <v>0</v>
      </c>
    </row>
    <row r="638" spans="1:6" ht="57.5" x14ac:dyDescent="0.25">
      <c r="A638" s="101" t="s">
        <v>714</v>
      </c>
      <c r="B638" s="105" t="s">
        <v>386</v>
      </c>
      <c r="C638" s="102" t="s">
        <v>902</v>
      </c>
      <c r="D638" s="103">
        <f t="shared" si="57"/>
        <v>1558000</v>
      </c>
      <c r="E638" s="103">
        <f t="shared" si="57"/>
        <v>1558000</v>
      </c>
      <c r="F638" s="104">
        <f t="shared" si="56"/>
        <v>0</v>
      </c>
    </row>
    <row r="639" spans="1:6" ht="34.5" x14ac:dyDescent="0.25">
      <c r="A639" s="101" t="s">
        <v>897</v>
      </c>
      <c r="B639" s="105" t="s">
        <v>386</v>
      </c>
      <c r="C639" s="102" t="s">
        <v>903</v>
      </c>
      <c r="D639" s="103">
        <v>1558000</v>
      </c>
      <c r="E639" s="103">
        <v>1558000</v>
      </c>
      <c r="F639" s="104">
        <f t="shared" si="56"/>
        <v>0</v>
      </c>
    </row>
    <row r="640" spans="1:6" ht="13" hidden="1" x14ac:dyDescent="0.3">
      <c r="A640" s="98" t="s">
        <v>904</v>
      </c>
      <c r="B640" s="92" t="s">
        <v>386</v>
      </c>
      <c r="C640" s="118" t="s">
        <v>905</v>
      </c>
      <c r="D640" s="94">
        <f t="shared" ref="D640:E644" si="58">D641</f>
        <v>0</v>
      </c>
      <c r="E640" s="94">
        <f t="shared" si="58"/>
        <v>0</v>
      </c>
      <c r="F640" s="95">
        <f t="shared" si="49"/>
        <v>0</v>
      </c>
    </row>
    <row r="641" spans="1:6" ht="39" hidden="1" x14ac:dyDescent="0.3">
      <c r="A641" s="98" t="s">
        <v>906</v>
      </c>
      <c r="B641" s="92" t="s">
        <v>386</v>
      </c>
      <c r="C641" s="99" t="s">
        <v>907</v>
      </c>
      <c r="D641" s="94">
        <f t="shared" si="58"/>
        <v>0</v>
      </c>
      <c r="E641" s="94">
        <f t="shared" si="58"/>
        <v>0</v>
      </c>
      <c r="F641" s="95">
        <f t="shared" si="49"/>
        <v>0</v>
      </c>
    </row>
    <row r="642" spans="1:6" ht="69" hidden="1" x14ac:dyDescent="0.3">
      <c r="A642" s="100" t="s">
        <v>908</v>
      </c>
      <c r="B642" s="92" t="s">
        <v>386</v>
      </c>
      <c r="C642" s="99" t="s">
        <v>909</v>
      </c>
      <c r="D642" s="94">
        <f t="shared" si="58"/>
        <v>0</v>
      </c>
      <c r="E642" s="94">
        <f t="shared" si="58"/>
        <v>0</v>
      </c>
      <c r="F642" s="95">
        <f t="shared" si="49"/>
        <v>0</v>
      </c>
    </row>
    <row r="643" spans="1:6" ht="23" hidden="1" x14ac:dyDescent="0.25">
      <c r="A643" s="101" t="s">
        <v>488</v>
      </c>
      <c r="B643" s="105" t="s">
        <v>386</v>
      </c>
      <c r="C643" s="102" t="s">
        <v>910</v>
      </c>
      <c r="D643" s="103">
        <f t="shared" si="58"/>
        <v>0</v>
      </c>
      <c r="E643" s="103">
        <f t="shared" si="58"/>
        <v>0</v>
      </c>
      <c r="F643" s="104">
        <f t="shared" si="49"/>
        <v>0</v>
      </c>
    </row>
    <row r="644" spans="1:6" ht="34.5" hidden="1" x14ac:dyDescent="0.25">
      <c r="A644" s="130" t="s">
        <v>394</v>
      </c>
      <c r="B644" s="105" t="s">
        <v>386</v>
      </c>
      <c r="C644" s="102" t="s">
        <v>911</v>
      </c>
      <c r="D644" s="103">
        <f t="shared" si="58"/>
        <v>0</v>
      </c>
      <c r="E644" s="103">
        <f t="shared" si="58"/>
        <v>0</v>
      </c>
      <c r="F644" s="104">
        <f t="shared" si="49"/>
        <v>0</v>
      </c>
    </row>
    <row r="645" spans="1:6" hidden="1" x14ac:dyDescent="0.25">
      <c r="A645" s="101" t="s">
        <v>396</v>
      </c>
      <c r="B645" s="105" t="s">
        <v>386</v>
      </c>
      <c r="C645" s="102" t="s">
        <v>912</v>
      </c>
      <c r="D645" s="103">
        <f>144620-144620</f>
        <v>0</v>
      </c>
      <c r="E645" s="103"/>
      <c r="F645" s="104">
        <f t="shared" si="49"/>
        <v>0</v>
      </c>
    </row>
    <row r="646" spans="1:6" ht="13" x14ac:dyDescent="0.3">
      <c r="A646" s="98" t="s">
        <v>913</v>
      </c>
      <c r="B646" s="92" t="s">
        <v>386</v>
      </c>
      <c r="C646" s="118" t="s">
        <v>914</v>
      </c>
      <c r="D646" s="94">
        <f>D647+D661</f>
        <v>17814000</v>
      </c>
      <c r="E646" s="94">
        <f>E647+E661</f>
        <v>14726908.82</v>
      </c>
      <c r="F646" s="95">
        <f t="shared" si="49"/>
        <v>3087091.1799999997</v>
      </c>
    </row>
    <row r="647" spans="1:6" ht="39" x14ac:dyDescent="0.3">
      <c r="A647" s="98" t="s">
        <v>915</v>
      </c>
      <c r="B647" s="92" t="s">
        <v>386</v>
      </c>
      <c r="C647" s="99" t="s">
        <v>916</v>
      </c>
      <c r="D647" s="94">
        <f t="shared" ref="D647:E650" si="59">D648</f>
        <v>7814000</v>
      </c>
      <c r="E647" s="94">
        <f t="shared" si="59"/>
        <v>7400000</v>
      </c>
      <c r="F647" s="95">
        <f>D647-E647</f>
        <v>414000</v>
      </c>
    </row>
    <row r="648" spans="1:6" ht="83" customHeight="1" x14ac:dyDescent="0.3">
      <c r="A648" s="100" t="s">
        <v>917</v>
      </c>
      <c r="B648" s="92" t="s">
        <v>386</v>
      </c>
      <c r="C648" s="99" t="s">
        <v>918</v>
      </c>
      <c r="D648" s="94">
        <f t="shared" si="59"/>
        <v>7814000</v>
      </c>
      <c r="E648" s="94">
        <f t="shared" si="59"/>
        <v>7400000</v>
      </c>
      <c r="F648" s="95">
        <f>D648-E648</f>
        <v>414000</v>
      </c>
    </row>
    <row r="649" spans="1:6" ht="23" x14ac:dyDescent="0.25">
      <c r="A649" s="101" t="s">
        <v>488</v>
      </c>
      <c r="B649" s="105" t="s">
        <v>386</v>
      </c>
      <c r="C649" s="102" t="s">
        <v>919</v>
      </c>
      <c r="D649" s="103">
        <f t="shared" si="59"/>
        <v>7814000</v>
      </c>
      <c r="E649" s="103">
        <f t="shared" si="59"/>
        <v>7400000</v>
      </c>
      <c r="F649" s="104">
        <f>D649-E649</f>
        <v>414000</v>
      </c>
    </row>
    <row r="650" spans="1:6" ht="34.5" x14ac:dyDescent="0.25">
      <c r="A650" s="130" t="s">
        <v>394</v>
      </c>
      <c r="B650" s="105" t="s">
        <v>386</v>
      </c>
      <c r="C650" s="102" t="s">
        <v>920</v>
      </c>
      <c r="D650" s="103">
        <f t="shared" si="59"/>
        <v>7814000</v>
      </c>
      <c r="E650" s="103">
        <f t="shared" si="59"/>
        <v>7400000</v>
      </c>
      <c r="F650" s="104">
        <f>D650-E650</f>
        <v>414000</v>
      </c>
    </row>
    <row r="651" spans="1:6" x14ac:dyDescent="0.25">
      <c r="A651" s="101" t="s">
        <v>396</v>
      </c>
      <c r="B651" s="105" t="s">
        <v>386</v>
      </c>
      <c r="C651" s="102" t="s">
        <v>921</v>
      </c>
      <c r="D651" s="103">
        <f>D656+D660</f>
        <v>7814000</v>
      </c>
      <c r="E651" s="103">
        <f>E656+E660</f>
        <v>7400000</v>
      </c>
      <c r="F651" s="104">
        <f>D651-E651</f>
        <v>414000</v>
      </c>
    </row>
    <row r="652" spans="1:6" ht="13" x14ac:dyDescent="0.25">
      <c r="A652" s="98" t="s">
        <v>121</v>
      </c>
      <c r="B652" s="105"/>
      <c r="C652" s="102"/>
      <c r="D652" s="103"/>
      <c r="E652" s="103"/>
      <c r="F652" s="104"/>
    </row>
    <row r="653" spans="1:6" ht="13.5" x14ac:dyDescent="0.3">
      <c r="A653" s="108" t="s">
        <v>410</v>
      </c>
      <c r="B653" s="92" t="s">
        <v>386</v>
      </c>
      <c r="C653" s="99" t="s">
        <v>918</v>
      </c>
      <c r="D653" s="94">
        <f t="shared" ref="D653:E659" si="60">D654</f>
        <v>2294000</v>
      </c>
      <c r="E653" s="94">
        <f t="shared" si="60"/>
        <v>2294000</v>
      </c>
      <c r="F653" s="95">
        <f t="shared" ref="F653:F660" si="61">D653-E653</f>
        <v>0</v>
      </c>
    </row>
    <row r="654" spans="1:6" ht="34.5" x14ac:dyDescent="0.25">
      <c r="A654" s="101" t="s">
        <v>922</v>
      </c>
      <c r="B654" s="105" t="s">
        <v>386</v>
      </c>
      <c r="C654" s="102" t="s">
        <v>919</v>
      </c>
      <c r="D654" s="103">
        <f t="shared" si="60"/>
        <v>2294000</v>
      </c>
      <c r="E654" s="103">
        <f t="shared" si="60"/>
        <v>2294000</v>
      </c>
      <c r="F654" s="104">
        <f t="shared" si="61"/>
        <v>0</v>
      </c>
    </row>
    <row r="655" spans="1:6" ht="34.5" x14ac:dyDescent="0.25">
      <c r="A655" s="132" t="s">
        <v>394</v>
      </c>
      <c r="B655" s="105" t="s">
        <v>386</v>
      </c>
      <c r="C655" s="102" t="s">
        <v>920</v>
      </c>
      <c r="D655" s="103">
        <f t="shared" si="60"/>
        <v>2294000</v>
      </c>
      <c r="E655" s="103">
        <f t="shared" si="60"/>
        <v>2294000</v>
      </c>
      <c r="F655" s="104">
        <f t="shared" si="61"/>
        <v>0</v>
      </c>
    </row>
    <row r="656" spans="1:6" x14ac:dyDescent="0.25">
      <c r="A656" s="101" t="s">
        <v>396</v>
      </c>
      <c r="B656" s="105" t="s">
        <v>386</v>
      </c>
      <c r="C656" s="102" t="s">
        <v>921</v>
      </c>
      <c r="D656" s="103">
        <f>2480000-186000</f>
        <v>2294000</v>
      </c>
      <c r="E656" s="103">
        <f>2480000-186000</f>
        <v>2294000</v>
      </c>
      <c r="F656" s="104">
        <f t="shared" si="61"/>
        <v>0</v>
      </c>
    </row>
    <row r="657" spans="1:6" ht="13.5" x14ac:dyDescent="0.3">
      <c r="A657" s="108" t="s">
        <v>411</v>
      </c>
      <c r="B657" s="92" t="s">
        <v>386</v>
      </c>
      <c r="C657" s="99" t="s">
        <v>918</v>
      </c>
      <c r="D657" s="94">
        <f t="shared" si="60"/>
        <v>5520000</v>
      </c>
      <c r="E657" s="94">
        <f t="shared" si="60"/>
        <v>5106000</v>
      </c>
      <c r="F657" s="95">
        <f t="shared" si="61"/>
        <v>414000</v>
      </c>
    </row>
    <row r="658" spans="1:6" ht="34.5" x14ac:dyDescent="0.25">
      <c r="A658" s="101" t="s">
        <v>922</v>
      </c>
      <c r="B658" s="105" t="s">
        <v>386</v>
      </c>
      <c r="C658" s="102" t="s">
        <v>919</v>
      </c>
      <c r="D658" s="103">
        <f t="shared" si="60"/>
        <v>5520000</v>
      </c>
      <c r="E658" s="103">
        <f t="shared" si="60"/>
        <v>5106000</v>
      </c>
      <c r="F658" s="104">
        <f t="shared" si="61"/>
        <v>414000</v>
      </c>
    </row>
    <row r="659" spans="1:6" ht="34.5" x14ac:dyDescent="0.25">
      <c r="A659" s="132" t="s">
        <v>394</v>
      </c>
      <c r="B659" s="105" t="s">
        <v>386</v>
      </c>
      <c r="C659" s="102" t="s">
        <v>920</v>
      </c>
      <c r="D659" s="103">
        <f t="shared" si="60"/>
        <v>5520000</v>
      </c>
      <c r="E659" s="103">
        <f t="shared" si="60"/>
        <v>5106000</v>
      </c>
      <c r="F659" s="104">
        <f t="shared" si="61"/>
        <v>414000</v>
      </c>
    </row>
    <row r="660" spans="1:6" x14ac:dyDescent="0.25">
      <c r="A660" s="101" t="s">
        <v>396</v>
      </c>
      <c r="B660" s="105" t="s">
        <v>386</v>
      </c>
      <c r="C660" s="102" t="s">
        <v>921</v>
      </c>
      <c r="D660" s="103">
        <f>4626860+893140</f>
        <v>5520000</v>
      </c>
      <c r="E660" s="103">
        <v>5106000</v>
      </c>
      <c r="F660" s="104">
        <f t="shared" si="61"/>
        <v>414000</v>
      </c>
    </row>
    <row r="661" spans="1:6" ht="78" x14ac:dyDescent="0.3">
      <c r="A661" s="98" t="s">
        <v>923</v>
      </c>
      <c r="B661" s="92" t="s">
        <v>386</v>
      </c>
      <c r="C661" s="99" t="s">
        <v>924</v>
      </c>
      <c r="D661" s="94">
        <f t="shared" ref="D661:E663" si="62">D662</f>
        <v>10000000</v>
      </c>
      <c r="E661" s="94">
        <f t="shared" si="62"/>
        <v>7326908.8200000003</v>
      </c>
      <c r="F661" s="95">
        <f t="shared" si="49"/>
        <v>2673091.1799999997</v>
      </c>
    </row>
    <row r="662" spans="1:6" ht="23" x14ac:dyDescent="0.25">
      <c r="A662" s="101" t="s">
        <v>488</v>
      </c>
      <c r="B662" s="105" t="s">
        <v>386</v>
      </c>
      <c r="C662" s="102" t="s">
        <v>925</v>
      </c>
      <c r="D662" s="103">
        <f t="shared" si="62"/>
        <v>10000000</v>
      </c>
      <c r="E662" s="103">
        <f t="shared" si="62"/>
        <v>7326908.8200000003</v>
      </c>
      <c r="F662" s="104">
        <f t="shared" si="49"/>
        <v>2673091.1799999997</v>
      </c>
    </row>
    <row r="663" spans="1:6" ht="34.5" x14ac:dyDescent="0.25">
      <c r="A663" s="130" t="s">
        <v>394</v>
      </c>
      <c r="B663" s="105" t="s">
        <v>386</v>
      </c>
      <c r="C663" s="102" t="s">
        <v>926</v>
      </c>
      <c r="D663" s="103">
        <f t="shared" si="62"/>
        <v>10000000</v>
      </c>
      <c r="E663" s="103">
        <f t="shared" si="62"/>
        <v>7326908.8200000003</v>
      </c>
      <c r="F663" s="104">
        <f t="shared" si="49"/>
        <v>2673091.1799999997</v>
      </c>
    </row>
    <row r="664" spans="1:6" x14ac:dyDescent="0.25">
      <c r="A664" s="101" t="s">
        <v>396</v>
      </c>
      <c r="B664" s="105" t="s">
        <v>386</v>
      </c>
      <c r="C664" s="102" t="s">
        <v>927</v>
      </c>
      <c r="D664" s="103">
        <v>10000000</v>
      </c>
      <c r="E664" s="103">
        <v>7326908.8200000003</v>
      </c>
      <c r="F664" s="104">
        <f t="shared" si="49"/>
        <v>2673091.1799999997</v>
      </c>
    </row>
    <row r="665" spans="1:6" ht="26" x14ac:dyDescent="0.3">
      <c r="A665" s="98" t="s">
        <v>928</v>
      </c>
      <c r="B665" s="92" t="s">
        <v>386</v>
      </c>
      <c r="C665" s="118" t="s">
        <v>929</v>
      </c>
      <c r="D665" s="94">
        <f>D666+D692+D710</f>
        <v>120023381</v>
      </c>
      <c r="E665" s="94">
        <f>E666+E692+E710</f>
        <v>109352395.5</v>
      </c>
      <c r="F665" s="95">
        <f t="shared" si="49"/>
        <v>10670985.5</v>
      </c>
    </row>
    <row r="666" spans="1:6" ht="39" x14ac:dyDescent="0.3">
      <c r="A666" s="98" t="s">
        <v>915</v>
      </c>
      <c r="B666" s="92" t="s">
        <v>386</v>
      </c>
      <c r="C666" s="99" t="s">
        <v>930</v>
      </c>
      <c r="D666" s="94">
        <f>D667+D671+D675+D679</f>
        <v>112524092.55</v>
      </c>
      <c r="E666" s="94">
        <f>E667+E671+E675+E679</f>
        <v>101853107.05</v>
      </c>
      <c r="F666" s="95">
        <f t="shared" si="49"/>
        <v>10670985.5</v>
      </c>
    </row>
    <row r="667" spans="1:6" ht="46" x14ac:dyDescent="0.3">
      <c r="A667" s="100" t="s">
        <v>931</v>
      </c>
      <c r="B667" s="92" t="s">
        <v>386</v>
      </c>
      <c r="C667" s="99" t="s">
        <v>932</v>
      </c>
      <c r="D667" s="94">
        <f t="shared" ref="D667:E669" si="63">D668</f>
        <v>3000000</v>
      </c>
      <c r="E667" s="94">
        <f t="shared" si="63"/>
        <v>3000000</v>
      </c>
      <c r="F667" s="95">
        <f t="shared" si="49"/>
        <v>0</v>
      </c>
    </row>
    <row r="668" spans="1:6" ht="34.5" x14ac:dyDescent="0.25">
      <c r="A668" s="101" t="s">
        <v>922</v>
      </c>
      <c r="B668" s="105" t="s">
        <v>386</v>
      </c>
      <c r="C668" s="102" t="s">
        <v>933</v>
      </c>
      <c r="D668" s="103">
        <f t="shared" si="63"/>
        <v>3000000</v>
      </c>
      <c r="E668" s="103">
        <f t="shared" si="63"/>
        <v>3000000</v>
      </c>
      <c r="F668" s="104">
        <f t="shared" si="49"/>
        <v>0</v>
      </c>
    </row>
    <row r="669" spans="1:6" ht="34.5" x14ac:dyDescent="0.25">
      <c r="A669" s="132" t="s">
        <v>394</v>
      </c>
      <c r="B669" s="105" t="s">
        <v>386</v>
      </c>
      <c r="C669" s="102" t="s">
        <v>934</v>
      </c>
      <c r="D669" s="103">
        <f t="shared" si="63"/>
        <v>3000000</v>
      </c>
      <c r="E669" s="103">
        <f t="shared" si="63"/>
        <v>3000000</v>
      </c>
      <c r="F669" s="104">
        <f t="shared" si="49"/>
        <v>0</v>
      </c>
    </row>
    <row r="670" spans="1:6" x14ac:dyDescent="0.25">
      <c r="A670" s="101" t="s">
        <v>396</v>
      </c>
      <c r="B670" s="105" t="s">
        <v>386</v>
      </c>
      <c r="C670" s="102" t="s">
        <v>935</v>
      </c>
      <c r="D670" s="103">
        <v>3000000</v>
      </c>
      <c r="E670" s="103">
        <v>3000000</v>
      </c>
      <c r="F670" s="104">
        <f t="shared" si="49"/>
        <v>0</v>
      </c>
    </row>
    <row r="671" spans="1:6" ht="69" hidden="1" x14ac:dyDescent="0.3">
      <c r="A671" s="100" t="s">
        <v>936</v>
      </c>
      <c r="B671" s="92" t="s">
        <v>386</v>
      </c>
      <c r="C671" s="99" t="s">
        <v>937</v>
      </c>
      <c r="D671" s="94">
        <f t="shared" ref="D671:E673" si="64">D672</f>
        <v>0</v>
      </c>
      <c r="E671" s="94">
        <f t="shared" si="64"/>
        <v>0</v>
      </c>
      <c r="F671" s="95">
        <f t="shared" si="49"/>
        <v>0</v>
      </c>
    </row>
    <row r="672" spans="1:6" ht="34.5" hidden="1" x14ac:dyDescent="0.25">
      <c r="A672" s="101" t="s">
        <v>922</v>
      </c>
      <c r="B672" s="105" t="s">
        <v>386</v>
      </c>
      <c r="C672" s="102" t="s">
        <v>938</v>
      </c>
      <c r="D672" s="103">
        <f t="shared" si="64"/>
        <v>0</v>
      </c>
      <c r="E672" s="103">
        <f t="shared" si="64"/>
        <v>0</v>
      </c>
      <c r="F672" s="104">
        <f t="shared" si="49"/>
        <v>0</v>
      </c>
    </row>
    <row r="673" spans="1:6" ht="34.5" hidden="1" x14ac:dyDescent="0.25">
      <c r="A673" s="132" t="s">
        <v>394</v>
      </c>
      <c r="B673" s="105" t="s">
        <v>386</v>
      </c>
      <c r="C673" s="102" t="s">
        <v>939</v>
      </c>
      <c r="D673" s="103">
        <f t="shared" si="64"/>
        <v>0</v>
      </c>
      <c r="E673" s="103">
        <f t="shared" si="64"/>
        <v>0</v>
      </c>
      <c r="F673" s="104">
        <f t="shared" si="49"/>
        <v>0</v>
      </c>
    </row>
    <row r="674" spans="1:6" hidden="1" x14ac:dyDescent="0.25">
      <c r="A674" s="101" t="s">
        <v>396</v>
      </c>
      <c r="B674" s="105" t="s">
        <v>386</v>
      </c>
      <c r="C674" s="102" t="s">
        <v>940</v>
      </c>
      <c r="D674" s="103"/>
      <c r="E674" s="103"/>
      <c r="F674" s="104">
        <f t="shared" si="49"/>
        <v>0</v>
      </c>
    </row>
    <row r="675" spans="1:6" ht="51" customHeight="1" x14ac:dyDescent="0.3">
      <c r="A675" s="100" t="s">
        <v>941</v>
      </c>
      <c r="B675" s="92" t="s">
        <v>386</v>
      </c>
      <c r="C675" s="99" t="s">
        <v>942</v>
      </c>
      <c r="D675" s="94">
        <f t="shared" ref="D675:E681" si="65">D676</f>
        <v>37838170.049999997</v>
      </c>
      <c r="E675" s="94">
        <f t="shared" si="65"/>
        <v>27167184.550000001</v>
      </c>
      <c r="F675" s="95">
        <f t="shared" si="49"/>
        <v>10670985.499999996</v>
      </c>
    </row>
    <row r="676" spans="1:6" ht="23" x14ac:dyDescent="0.25">
      <c r="A676" s="101" t="s">
        <v>488</v>
      </c>
      <c r="B676" s="105" t="s">
        <v>386</v>
      </c>
      <c r="C676" s="102" t="s">
        <v>943</v>
      </c>
      <c r="D676" s="103">
        <f t="shared" si="65"/>
        <v>37838170.049999997</v>
      </c>
      <c r="E676" s="103">
        <f t="shared" si="65"/>
        <v>27167184.550000001</v>
      </c>
      <c r="F676" s="104">
        <f t="shared" si="49"/>
        <v>10670985.499999996</v>
      </c>
    </row>
    <row r="677" spans="1:6" ht="34.5" x14ac:dyDescent="0.25">
      <c r="A677" s="101" t="s">
        <v>394</v>
      </c>
      <c r="B677" s="105" t="s">
        <v>386</v>
      </c>
      <c r="C677" s="102" t="s">
        <v>944</v>
      </c>
      <c r="D677" s="103">
        <f t="shared" si="65"/>
        <v>37838170.049999997</v>
      </c>
      <c r="E677" s="103">
        <f t="shared" si="65"/>
        <v>27167184.550000001</v>
      </c>
      <c r="F677" s="104">
        <f t="shared" si="49"/>
        <v>10670985.499999996</v>
      </c>
    </row>
    <row r="678" spans="1:6" x14ac:dyDescent="0.25">
      <c r="A678" s="101" t="s">
        <v>396</v>
      </c>
      <c r="B678" s="105" t="s">
        <v>386</v>
      </c>
      <c r="C678" s="102" t="s">
        <v>945</v>
      </c>
      <c r="D678" s="103">
        <v>37838170.049999997</v>
      </c>
      <c r="E678" s="103">
        <v>27167184.550000001</v>
      </c>
      <c r="F678" s="104">
        <f t="shared" si="49"/>
        <v>10670985.499999996</v>
      </c>
    </row>
    <row r="679" spans="1:6" ht="126.5" x14ac:dyDescent="0.3">
      <c r="A679" s="100" t="s">
        <v>946</v>
      </c>
      <c r="B679" s="92" t="s">
        <v>386</v>
      </c>
      <c r="C679" s="99" t="s">
        <v>947</v>
      </c>
      <c r="D679" s="94">
        <f t="shared" si="65"/>
        <v>71685922.5</v>
      </c>
      <c r="E679" s="94">
        <f t="shared" si="65"/>
        <v>71685922.5</v>
      </c>
      <c r="F679" s="95">
        <f t="shared" si="49"/>
        <v>0</v>
      </c>
    </row>
    <row r="680" spans="1:6" ht="23" x14ac:dyDescent="0.25">
      <c r="A680" s="101" t="s">
        <v>488</v>
      </c>
      <c r="B680" s="105" t="s">
        <v>386</v>
      </c>
      <c r="C680" s="102" t="s">
        <v>948</v>
      </c>
      <c r="D680" s="103">
        <f t="shared" si="65"/>
        <v>71685922.5</v>
      </c>
      <c r="E680" s="103">
        <f t="shared" si="65"/>
        <v>71685922.5</v>
      </c>
      <c r="F680" s="104">
        <f t="shared" si="49"/>
        <v>0</v>
      </c>
    </row>
    <row r="681" spans="1:6" ht="34.5" x14ac:dyDescent="0.25">
      <c r="A681" s="101" t="s">
        <v>394</v>
      </c>
      <c r="B681" s="105" t="s">
        <v>386</v>
      </c>
      <c r="C681" s="102" t="s">
        <v>949</v>
      </c>
      <c r="D681" s="103">
        <f t="shared" si="65"/>
        <v>71685922.5</v>
      </c>
      <c r="E681" s="103">
        <f t="shared" si="65"/>
        <v>71685922.5</v>
      </c>
      <c r="F681" s="104">
        <f t="shared" si="49"/>
        <v>0</v>
      </c>
    </row>
    <row r="682" spans="1:6" x14ac:dyDescent="0.25">
      <c r="A682" s="101" t="s">
        <v>396</v>
      </c>
      <c r="B682" s="105" t="s">
        <v>386</v>
      </c>
      <c r="C682" s="102" t="s">
        <v>950</v>
      </c>
      <c r="D682" s="103">
        <f>D687+D691</f>
        <v>71685922.5</v>
      </c>
      <c r="E682" s="103">
        <f>E687+E691</f>
        <v>71685922.5</v>
      </c>
      <c r="F682" s="104">
        <f t="shared" si="49"/>
        <v>0</v>
      </c>
    </row>
    <row r="683" spans="1:6" ht="13" x14ac:dyDescent="0.25">
      <c r="A683" s="98" t="s">
        <v>121</v>
      </c>
      <c r="B683" s="105"/>
      <c r="C683" s="102"/>
      <c r="D683" s="103"/>
      <c r="E683" s="103"/>
      <c r="F683" s="104"/>
    </row>
    <row r="684" spans="1:6" ht="13.5" x14ac:dyDescent="0.3">
      <c r="A684" s="108" t="s">
        <v>410</v>
      </c>
      <c r="B684" s="92" t="s">
        <v>386</v>
      </c>
      <c r="C684" s="99" t="s">
        <v>947</v>
      </c>
      <c r="D684" s="94">
        <f t="shared" ref="D684:E690" si="66">D685</f>
        <v>7168592.5</v>
      </c>
      <c r="E684" s="94">
        <f t="shared" si="66"/>
        <v>7168592.5</v>
      </c>
      <c r="F684" s="95">
        <f t="shared" ref="F684:F691" si="67">D684-E684</f>
        <v>0</v>
      </c>
    </row>
    <row r="685" spans="1:6" ht="34.5" x14ac:dyDescent="0.3">
      <c r="A685" s="101" t="s">
        <v>922</v>
      </c>
      <c r="B685" s="105" t="s">
        <v>386</v>
      </c>
      <c r="C685" s="102" t="s">
        <v>948</v>
      </c>
      <c r="D685" s="103">
        <f t="shared" si="66"/>
        <v>7168592.5</v>
      </c>
      <c r="E685" s="103">
        <f t="shared" si="66"/>
        <v>7168592.5</v>
      </c>
      <c r="F685" s="95">
        <f t="shared" si="67"/>
        <v>0</v>
      </c>
    </row>
    <row r="686" spans="1:6" ht="34.5" x14ac:dyDescent="0.25">
      <c r="A686" s="132" t="s">
        <v>394</v>
      </c>
      <c r="B686" s="105" t="s">
        <v>386</v>
      </c>
      <c r="C686" s="102" t="s">
        <v>949</v>
      </c>
      <c r="D686" s="103">
        <f t="shared" si="66"/>
        <v>7168592.5</v>
      </c>
      <c r="E686" s="103">
        <f t="shared" si="66"/>
        <v>7168592.5</v>
      </c>
      <c r="F686" s="104">
        <f t="shared" si="67"/>
        <v>0</v>
      </c>
    </row>
    <row r="687" spans="1:6" x14ac:dyDescent="0.25">
      <c r="A687" s="101" t="s">
        <v>396</v>
      </c>
      <c r="B687" s="105" t="s">
        <v>386</v>
      </c>
      <c r="C687" s="102" t="s">
        <v>950</v>
      </c>
      <c r="D687" s="103">
        <v>7168592.5</v>
      </c>
      <c r="E687" s="103">
        <f>2275135.77+2781654.26+943501.12+1168301.35</f>
        <v>7168592.5</v>
      </c>
      <c r="F687" s="104">
        <f t="shared" si="67"/>
        <v>0</v>
      </c>
    </row>
    <row r="688" spans="1:6" ht="27" x14ac:dyDescent="0.3">
      <c r="A688" s="108" t="s">
        <v>951</v>
      </c>
      <c r="B688" s="92" t="s">
        <v>386</v>
      </c>
      <c r="C688" s="99" t="s">
        <v>947</v>
      </c>
      <c r="D688" s="94">
        <f t="shared" si="66"/>
        <v>64517330</v>
      </c>
      <c r="E688" s="94">
        <f t="shared" si="66"/>
        <v>64517329.999999993</v>
      </c>
      <c r="F688" s="95">
        <f t="shared" si="67"/>
        <v>0</v>
      </c>
    </row>
    <row r="689" spans="1:6" ht="34.5" x14ac:dyDescent="0.3">
      <c r="A689" s="101" t="s">
        <v>922</v>
      </c>
      <c r="B689" s="105" t="s">
        <v>386</v>
      </c>
      <c r="C689" s="102" t="s">
        <v>948</v>
      </c>
      <c r="D689" s="103">
        <f t="shared" si="66"/>
        <v>64517330</v>
      </c>
      <c r="E689" s="103">
        <f t="shared" si="66"/>
        <v>64517329.999999993</v>
      </c>
      <c r="F689" s="95">
        <f t="shared" si="67"/>
        <v>0</v>
      </c>
    </row>
    <row r="690" spans="1:6" ht="34.5" x14ac:dyDescent="0.25">
      <c r="A690" s="132" t="s">
        <v>394</v>
      </c>
      <c r="B690" s="105" t="s">
        <v>386</v>
      </c>
      <c r="C690" s="102" t="s">
        <v>949</v>
      </c>
      <c r="D690" s="103">
        <f t="shared" si="66"/>
        <v>64517330</v>
      </c>
      <c r="E690" s="103">
        <f t="shared" si="66"/>
        <v>64517329.999999993</v>
      </c>
      <c r="F690" s="104">
        <f t="shared" si="67"/>
        <v>0</v>
      </c>
    </row>
    <row r="691" spans="1:6" x14ac:dyDescent="0.25">
      <c r="A691" s="101" t="s">
        <v>396</v>
      </c>
      <c r="B691" s="105" t="s">
        <v>386</v>
      </c>
      <c r="C691" s="102" t="s">
        <v>950</v>
      </c>
      <c r="D691" s="103">
        <v>64517330</v>
      </c>
      <c r="E691" s="103">
        <f>20476221.15+25034887.4+8491509.66+10514711.79</f>
        <v>64517329.999999993</v>
      </c>
      <c r="F691" s="104">
        <f t="shared" si="67"/>
        <v>0</v>
      </c>
    </row>
    <row r="692" spans="1:6" ht="39" x14ac:dyDescent="0.3">
      <c r="A692" s="98" t="s">
        <v>952</v>
      </c>
      <c r="B692" s="92" t="s">
        <v>386</v>
      </c>
      <c r="C692" s="99" t="s">
        <v>953</v>
      </c>
      <c r="D692" s="94">
        <f>D693+D697</f>
        <v>2067665.26</v>
      </c>
      <c r="E692" s="94">
        <f>E693+E697</f>
        <v>2067665.26</v>
      </c>
      <c r="F692" s="95">
        <f t="shared" si="49"/>
        <v>0</v>
      </c>
    </row>
    <row r="693" spans="1:6" ht="57.5" x14ac:dyDescent="0.3">
      <c r="A693" s="100" t="s">
        <v>954</v>
      </c>
      <c r="B693" s="92" t="s">
        <v>386</v>
      </c>
      <c r="C693" s="99" t="s">
        <v>955</v>
      </c>
      <c r="D693" s="94">
        <f t="shared" ref="D693:E695" si="68">D694</f>
        <v>83025.259999999995</v>
      </c>
      <c r="E693" s="94">
        <f t="shared" si="68"/>
        <v>83025.259999999995</v>
      </c>
      <c r="F693" s="95">
        <f t="shared" si="49"/>
        <v>0</v>
      </c>
    </row>
    <row r="694" spans="1:6" ht="23" x14ac:dyDescent="0.25">
      <c r="A694" s="101" t="s">
        <v>488</v>
      </c>
      <c r="B694" s="105" t="s">
        <v>386</v>
      </c>
      <c r="C694" s="102" t="s">
        <v>956</v>
      </c>
      <c r="D694" s="103">
        <f t="shared" si="68"/>
        <v>83025.259999999995</v>
      </c>
      <c r="E694" s="103">
        <f t="shared" si="68"/>
        <v>83025.259999999995</v>
      </c>
      <c r="F694" s="104">
        <f t="shared" ref="F694:F700" si="69">D694-E694</f>
        <v>0</v>
      </c>
    </row>
    <row r="695" spans="1:6" ht="34.5" x14ac:dyDescent="0.25">
      <c r="A695" s="101" t="s">
        <v>394</v>
      </c>
      <c r="B695" s="105" t="s">
        <v>386</v>
      </c>
      <c r="C695" s="102" t="s">
        <v>957</v>
      </c>
      <c r="D695" s="103">
        <f t="shared" si="68"/>
        <v>83025.259999999995</v>
      </c>
      <c r="E695" s="103">
        <f t="shared" si="68"/>
        <v>83025.259999999995</v>
      </c>
      <c r="F695" s="104">
        <f t="shared" si="69"/>
        <v>0</v>
      </c>
    </row>
    <row r="696" spans="1:6" x14ac:dyDescent="0.25">
      <c r="A696" s="101" t="s">
        <v>396</v>
      </c>
      <c r="B696" s="105" t="s">
        <v>386</v>
      </c>
      <c r="C696" s="102" t="s">
        <v>958</v>
      </c>
      <c r="D696" s="103">
        <v>83025.259999999995</v>
      </c>
      <c r="E696" s="103">
        <v>83025.259999999995</v>
      </c>
      <c r="F696" s="104">
        <f t="shared" si="69"/>
        <v>0</v>
      </c>
    </row>
    <row r="697" spans="1:6" ht="94.5" customHeight="1" x14ac:dyDescent="0.3">
      <c r="A697" s="100" t="s">
        <v>959</v>
      </c>
      <c r="B697" s="92" t="s">
        <v>386</v>
      </c>
      <c r="C697" s="99" t="s">
        <v>960</v>
      </c>
      <c r="D697" s="94">
        <f t="shared" ref="D697:E699" si="70">D698</f>
        <v>1984640</v>
      </c>
      <c r="E697" s="94">
        <f t="shared" si="70"/>
        <v>1984640</v>
      </c>
      <c r="F697" s="95">
        <f t="shared" si="69"/>
        <v>0</v>
      </c>
    </row>
    <row r="698" spans="1:6" ht="23" x14ac:dyDescent="0.3">
      <c r="A698" s="101" t="s">
        <v>488</v>
      </c>
      <c r="B698" s="105" t="s">
        <v>386</v>
      </c>
      <c r="C698" s="102" t="s">
        <v>961</v>
      </c>
      <c r="D698" s="103">
        <f t="shared" si="70"/>
        <v>1984640</v>
      </c>
      <c r="E698" s="103">
        <f t="shared" si="70"/>
        <v>1984640</v>
      </c>
      <c r="F698" s="95">
        <f t="shared" si="69"/>
        <v>0</v>
      </c>
    </row>
    <row r="699" spans="1:6" ht="34.5" x14ac:dyDescent="0.25">
      <c r="A699" s="101" t="s">
        <v>394</v>
      </c>
      <c r="B699" s="105" t="s">
        <v>386</v>
      </c>
      <c r="C699" s="102" t="s">
        <v>962</v>
      </c>
      <c r="D699" s="103">
        <f t="shared" si="70"/>
        <v>1984640</v>
      </c>
      <c r="E699" s="103">
        <f t="shared" si="70"/>
        <v>1984640</v>
      </c>
      <c r="F699" s="104">
        <f t="shared" si="69"/>
        <v>0</v>
      </c>
    </row>
    <row r="700" spans="1:6" x14ac:dyDescent="0.25">
      <c r="A700" s="101" t="s">
        <v>396</v>
      </c>
      <c r="B700" s="105" t="s">
        <v>386</v>
      </c>
      <c r="C700" s="102" t="s">
        <v>963</v>
      </c>
      <c r="D700" s="103">
        <f>D705+D709</f>
        <v>1984640</v>
      </c>
      <c r="E700" s="103">
        <f>E705+E709</f>
        <v>1984640</v>
      </c>
      <c r="F700" s="104">
        <f t="shared" si="69"/>
        <v>0</v>
      </c>
    </row>
    <row r="701" spans="1:6" ht="13" x14ac:dyDescent="0.25">
      <c r="A701" s="98" t="s">
        <v>121</v>
      </c>
      <c r="B701" s="105"/>
      <c r="C701" s="102"/>
      <c r="D701" s="103"/>
      <c r="E701" s="103"/>
      <c r="F701" s="104"/>
    </row>
    <row r="702" spans="1:6" ht="13.5" x14ac:dyDescent="0.3">
      <c r="A702" s="108" t="s">
        <v>410</v>
      </c>
      <c r="B702" s="92" t="s">
        <v>386</v>
      </c>
      <c r="C702" s="99" t="s">
        <v>960</v>
      </c>
      <c r="D702" s="94">
        <f t="shared" ref="D702:E704" si="71">D703</f>
        <v>1200000</v>
      </c>
      <c r="E702" s="94">
        <f t="shared" si="71"/>
        <v>1200000</v>
      </c>
      <c r="F702" s="95">
        <f t="shared" ref="F702:F743" si="72">D702-E702</f>
        <v>0</v>
      </c>
    </row>
    <row r="703" spans="1:6" ht="23" x14ac:dyDescent="0.3">
      <c r="A703" s="101" t="s">
        <v>488</v>
      </c>
      <c r="B703" s="105" t="s">
        <v>386</v>
      </c>
      <c r="C703" s="102" t="s">
        <v>961</v>
      </c>
      <c r="D703" s="103">
        <f t="shared" si="71"/>
        <v>1200000</v>
      </c>
      <c r="E703" s="103">
        <f t="shared" si="71"/>
        <v>1200000</v>
      </c>
      <c r="F703" s="95">
        <f t="shared" si="72"/>
        <v>0</v>
      </c>
    </row>
    <row r="704" spans="1:6" ht="34.5" x14ac:dyDescent="0.25">
      <c r="A704" s="101" t="s">
        <v>394</v>
      </c>
      <c r="B704" s="105" t="s">
        <v>386</v>
      </c>
      <c r="C704" s="102" t="s">
        <v>962</v>
      </c>
      <c r="D704" s="103">
        <f t="shared" si="71"/>
        <v>1200000</v>
      </c>
      <c r="E704" s="103">
        <f t="shared" si="71"/>
        <v>1200000</v>
      </c>
      <c r="F704" s="104">
        <f t="shared" si="72"/>
        <v>0</v>
      </c>
    </row>
    <row r="705" spans="1:6" x14ac:dyDescent="0.25">
      <c r="A705" s="101" t="s">
        <v>396</v>
      </c>
      <c r="B705" s="105" t="s">
        <v>386</v>
      </c>
      <c r="C705" s="102" t="s">
        <v>963</v>
      </c>
      <c r="D705" s="103">
        <v>1200000</v>
      </c>
      <c r="E705" s="103">
        <v>1200000</v>
      </c>
      <c r="F705" s="104">
        <f t="shared" si="72"/>
        <v>0</v>
      </c>
    </row>
    <row r="706" spans="1:6" ht="13.5" x14ac:dyDescent="0.3">
      <c r="A706" s="108" t="s">
        <v>411</v>
      </c>
      <c r="B706" s="92" t="s">
        <v>386</v>
      </c>
      <c r="C706" s="99" t="s">
        <v>960</v>
      </c>
      <c r="D706" s="94">
        <f t="shared" ref="D706:E708" si="73">D707</f>
        <v>784640</v>
      </c>
      <c r="E706" s="94">
        <f t="shared" si="73"/>
        <v>784640</v>
      </c>
      <c r="F706" s="95">
        <f t="shared" si="72"/>
        <v>0</v>
      </c>
    </row>
    <row r="707" spans="1:6" ht="23" x14ac:dyDescent="0.3">
      <c r="A707" s="101" t="s">
        <v>488</v>
      </c>
      <c r="B707" s="105" t="s">
        <v>386</v>
      </c>
      <c r="C707" s="102" t="s">
        <v>961</v>
      </c>
      <c r="D707" s="103">
        <f t="shared" si="73"/>
        <v>784640</v>
      </c>
      <c r="E707" s="103">
        <f t="shared" si="73"/>
        <v>784640</v>
      </c>
      <c r="F707" s="95">
        <f t="shared" si="72"/>
        <v>0</v>
      </c>
    </row>
    <row r="708" spans="1:6" ht="34.5" x14ac:dyDescent="0.25">
      <c r="A708" s="101" t="s">
        <v>394</v>
      </c>
      <c r="B708" s="105" t="s">
        <v>386</v>
      </c>
      <c r="C708" s="102" t="s">
        <v>962</v>
      </c>
      <c r="D708" s="103">
        <f t="shared" si="73"/>
        <v>784640</v>
      </c>
      <c r="E708" s="103">
        <f t="shared" si="73"/>
        <v>784640</v>
      </c>
      <c r="F708" s="104">
        <f t="shared" si="72"/>
        <v>0</v>
      </c>
    </row>
    <row r="709" spans="1:6" x14ac:dyDescent="0.25">
      <c r="A709" s="101" t="s">
        <v>396</v>
      </c>
      <c r="B709" s="105" t="s">
        <v>386</v>
      </c>
      <c r="C709" s="102" t="s">
        <v>963</v>
      </c>
      <c r="D709" s="103">
        <v>784640</v>
      </c>
      <c r="E709" s="103">
        <v>784640</v>
      </c>
      <c r="F709" s="104">
        <f t="shared" si="72"/>
        <v>0</v>
      </c>
    </row>
    <row r="710" spans="1:6" ht="39" x14ac:dyDescent="0.3">
      <c r="A710" s="98" t="s">
        <v>964</v>
      </c>
      <c r="B710" s="119" t="s">
        <v>386</v>
      </c>
      <c r="C710" s="99" t="s">
        <v>965</v>
      </c>
      <c r="D710" s="94">
        <f>D711</f>
        <v>5431623.1899999995</v>
      </c>
      <c r="E710" s="94">
        <f>E711</f>
        <v>5431623.1899999995</v>
      </c>
      <c r="F710" s="95">
        <f t="shared" si="72"/>
        <v>0</v>
      </c>
    </row>
    <row r="711" spans="1:6" ht="83" customHeight="1" x14ac:dyDescent="0.3">
      <c r="A711" s="100" t="s">
        <v>966</v>
      </c>
      <c r="B711" s="92" t="s">
        <v>386</v>
      </c>
      <c r="C711" s="99" t="s">
        <v>967</v>
      </c>
      <c r="D711" s="94">
        <f t="shared" ref="D711:E713" si="74">D712</f>
        <v>5431623.1899999995</v>
      </c>
      <c r="E711" s="94">
        <f t="shared" si="74"/>
        <v>5431623.1899999995</v>
      </c>
      <c r="F711" s="95">
        <f t="shared" si="72"/>
        <v>0</v>
      </c>
    </row>
    <row r="712" spans="1:6" ht="23" x14ac:dyDescent="0.3">
      <c r="A712" s="101" t="s">
        <v>488</v>
      </c>
      <c r="B712" s="105" t="s">
        <v>386</v>
      </c>
      <c r="C712" s="102" t="s">
        <v>968</v>
      </c>
      <c r="D712" s="103">
        <f t="shared" si="74"/>
        <v>5431623.1899999995</v>
      </c>
      <c r="E712" s="103">
        <f t="shared" si="74"/>
        <v>5431623.1899999995</v>
      </c>
      <c r="F712" s="95">
        <f t="shared" si="72"/>
        <v>0</v>
      </c>
    </row>
    <row r="713" spans="1:6" ht="34.5" x14ac:dyDescent="0.25">
      <c r="A713" s="101" t="s">
        <v>394</v>
      </c>
      <c r="B713" s="105" t="s">
        <v>386</v>
      </c>
      <c r="C713" s="102" t="s">
        <v>969</v>
      </c>
      <c r="D713" s="103">
        <f t="shared" si="74"/>
        <v>5431623.1899999995</v>
      </c>
      <c r="E713" s="103">
        <f t="shared" si="74"/>
        <v>5431623.1899999995</v>
      </c>
      <c r="F713" s="104">
        <f t="shared" si="72"/>
        <v>0</v>
      </c>
    </row>
    <row r="714" spans="1:6" x14ac:dyDescent="0.25">
      <c r="A714" s="101" t="s">
        <v>396</v>
      </c>
      <c r="B714" s="105" t="s">
        <v>386</v>
      </c>
      <c r="C714" s="102" t="s">
        <v>970</v>
      </c>
      <c r="D714" s="103">
        <f>D719+D723</f>
        <v>5431623.1899999995</v>
      </c>
      <c r="E714" s="103">
        <f>E719+E723</f>
        <v>5431623.1899999995</v>
      </c>
      <c r="F714" s="104">
        <f t="shared" si="72"/>
        <v>0</v>
      </c>
    </row>
    <row r="715" spans="1:6" ht="13" x14ac:dyDescent="0.25">
      <c r="A715" s="98" t="s">
        <v>121</v>
      </c>
      <c r="B715" s="105"/>
      <c r="C715" s="102"/>
      <c r="D715" s="103"/>
      <c r="E715" s="103"/>
      <c r="F715" s="104"/>
    </row>
    <row r="716" spans="1:6" ht="13.5" x14ac:dyDescent="0.3">
      <c r="A716" s="108" t="s">
        <v>410</v>
      </c>
      <c r="B716" s="92" t="s">
        <v>386</v>
      </c>
      <c r="C716" s="99" t="s">
        <v>967</v>
      </c>
      <c r="D716" s="94">
        <f t="shared" ref="D716:E718" si="75">D717</f>
        <v>1683803.19</v>
      </c>
      <c r="E716" s="94">
        <f t="shared" si="75"/>
        <v>1683803.1899999997</v>
      </c>
      <c r="F716" s="95">
        <f t="shared" ref="F716:F723" si="76">D716-E716</f>
        <v>0</v>
      </c>
    </row>
    <row r="717" spans="1:6" ht="23" x14ac:dyDescent="0.3">
      <c r="A717" s="101" t="s">
        <v>488</v>
      </c>
      <c r="B717" s="105" t="s">
        <v>386</v>
      </c>
      <c r="C717" s="102" t="s">
        <v>968</v>
      </c>
      <c r="D717" s="103">
        <f t="shared" si="75"/>
        <v>1683803.19</v>
      </c>
      <c r="E717" s="103">
        <f t="shared" si="75"/>
        <v>1683803.1899999997</v>
      </c>
      <c r="F717" s="95">
        <f t="shared" si="76"/>
        <v>0</v>
      </c>
    </row>
    <row r="718" spans="1:6" ht="34.5" x14ac:dyDescent="0.25">
      <c r="A718" s="101" t="s">
        <v>394</v>
      </c>
      <c r="B718" s="105" t="s">
        <v>386</v>
      </c>
      <c r="C718" s="102" t="s">
        <v>969</v>
      </c>
      <c r="D718" s="103">
        <f t="shared" si="75"/>
        <v>1683803.19</v>
      </c>
      <c r="E718" s="103">
        <f t="shared" si="75"/>
        <v>1683803.1899999997</v>
      </c>
      <c r="F718" s="104">
        <f t="shared" si="76"/>
        <v>0</v>
      </c>
    </row>
    <row r="719" spans="1:6" x14ac:dyDescent="0.25">
      <c r="A719" s="101" t="s">
        <v>396</v>
      </c>
      <c r="B719" s="105" t="s">
        <v>386</v>
      </c>
      <c r="C719" s="102" t="s">
        <v>970</v>
      </c>
      <c r="D719" s="103">
        <v>1683803.19</v>
      </c>
      <c r="E719" s="103">
        <f>1071904.13+429369.88+182529.18</f>
        <v>1683803.1899999997</v>
      </c>
      <c r="F719" s="104">
        <f t="shared" si="76"/>
        <v>0</v>
      </c>
    </row>
    <row r="720" spans="1:6" ht="13.5" x14ac:dyDescent="0.3">
      <c r="A720" s="108" t="s">
        <v>411</v>
      </c>
      <c r="B720" s="92" t="s">
        <v>386</v>
      </c>
      <c r="C720" s="99" t="s">
        <v>967</v>
      </c>
      <c r="D720" s="94">
        <f t="shared" ref="D720:E722" si="77">D721</f>
        <v>3747820</v>
      </c>
      <c r="E720" s="94">
        <f t="shared" si="77"/>
        <v>3747820</v>
      </c>
      <c r="F720" s="95">
        <f t="shared" si="76"/>
        <v>0</v>
      </c>
    </row>
    <row r="721" spans="1:6" ht="23" x14ac:dyDescent="0.3">
      <c r="A721" s="101" t="s">
        <v>488</v>
      </c>
      <c r="B721" s="105" t="s">
        <v>386</v>
      </c>
      <c r="C721" s="102" t="s">
        <v>968</v>
      </c>
      <c r="D721" s="103">
        <f t="shared" si="77"/>
        <v>3747820</v>
      </c>
      <c r="E721" s="103">
        <f t="shared" si="77"/>
        <v>3747820</v>
      </c>
      <c r="F721" s="95">
        <f t="shared" si="76"/>
        <v>0</v>
      </c>
    </row>
    <row r="722" spans="1:6" ht="34.5" x14ac:dyDescent="0.25">
      <c r="A722" s="101" t="s">
        <v>394</v>
      </c>
      <c r="B722" s="105" t="s">
        <v>386</v>
      </c>
      <c r="C722" s="102" t="s">
        <v>969</v>
      </c>
      <c r="D722" s="103">
        <f t="shared" si="77"/>
        <v>3747820</v>
      </c>
      <c r="E722" s="103">
        <f t="shared" si="77"/>
        <v>3747820</v>
      </c>
      <c r="F722" s="104">
        <f t="shared" si="76"/>
        <v>0</v>
      </c>
    </row>
    <row r="723" spans="1:6" x14ac:dyDescent="0.25">
      <c r="A723" s="101" t="s">
        <v>396</v>
      </c>
      <c r="B723" s="105" t="s">
        <v>386</v>
      </c>
      <c r="C723" s="102" t="s">
        <v>970</v>
      </c>
      <c r="D723" s="103">
        <v>3747820</v>
      </c>
      <c r="E723" s="103">
        <f>3341545.35+406274.65</f>
        <v>3747820</v>
      </c>
      <c r="F723" s="104">
        <f t="shared" si="76"/>
        <v>0</v>
      </c>
    </row>
    <row r="724" spans="1:6" ht="26" x14ac:dyDescent="0.3">
      <c r="A724" s="98" t="s">
        <v>971</v>
      </c>
      <c r="B724" s="92" t="s">
        <v>386</v>
      </c>
      <c r="C724" s="99" t="s">
        <v>972</v>
      </c>
      <c r="D724" s="94">
        <f>D725+D753</f>
        <v>1456999</v>
      </c>
      <c r="E724" s="94">
        <f>E725+E753</f>
        <v>1133837.6000000001</v>
      </c>
      <c r="F724" s="95">
        <f t="shared" si="72"/>
        <v>323161.39999999991</v>
      </c>
    </row>
    <row r="725" spans="1:6" ht="39" x14ac:dyDescent="0.3">
      <c r="A725" s="98" t="s">
        <v>973</v>
      </c>
      <c r="B725" s="92" t="s">
        <v>386</v>
      </c>
      <c r="C725" s="99" t="s">
        <v>974</v>
      </c>
      <c r="D725" s="94">
        <f>D726+D732+D740+D736</f>
        <v>735000</v>
      </c>
      <c r="E725" s="94">
        <f>E726+E732+E740+E736</f>
        <v>411856.6</v>
      </c>
      <c r="F725" s="95">
        <f t="shared" si="72"/>
        <v>323143.40000000002</v>
      </c>
    </row>
    <row r="726" spans="1:6" ht="72" customHeight="1" x14ac:dyDescent="0.3">
      <c r="A726" s="100" t="s">
        <v>975</v>
      </c>
      <c r="B726" s="92" t="s">
        <v>386</v>
      </c>
      <c r="C726" s="99" t="s">
        <v>976</v>
      </c>
      <c r="D726" s="94">
        <f>D727+D730</f>
        <v>50000</v>
      </c>
      <c r="E726" s="94">
        <f>E727+E730</f>
        <v>18406.599999999999</v>
      </c>
      <c r="F726" s="95">
        <f t="shared" si="72"/>
        <v>31593.4</v>
      </c>
    </row>
    <row r="727" spans="1:6" ht="23" x14ac:dyDescent="0.25">
      <c r="A727" s="101" t="s">
        <v>488</v>
      </c>
      <c r="B727" s="105" t="s">
        <v>386</v>
      </c>
      <c r="C727" s="102" t="s">
        <v>977</v>
      </c>
      <c r="D727" s="103">
        <f t="shared" ref="D727:E730" si="78">D728</f>
        <v>40000</v>
      </c>
      <c r="E727" s="103">
        <f t="shared" si="78"/>
        <v>18406.599999999999</v>
      </c>
      <c r="F727" s="104">
        <f t="shared" si="72"/>
        <v>21593.4</v>
      </c>
    </row>
    <row r="728" spans="1:6" ht="34.5" x14ac:dyDescent="0.25">
      <c r="A728" s="101" t="s">
        <v>394</v>
      </c>
      <c r="B728" s="105" t="s">
        <v>386</v>
      </c>
      <c r="C728" s="102" t="s">
        <v>978</v>
      </c>
      <c r="D728" s="103">
        <f t="shared" si="78"/>
        <v>40000</v>
      </c>
      <c r="E728" s="103">
        <f t="shared" si="78"/>
        <v>18406.599999999999</v>
      </c>
      <c r="F728" s="104">
        <f t="shared" si="72"/>
        <v>21593.4</v>
      </c>
    </row>
    <row r="729" spans="1:6" x14ac:dyDescent="0.25">
      <c r="A729" s="101" t="s">
        <v>396</v>
      </c>
      <c r="B729" s="105" t="s">
        <v>386</v>
      </c>
      <c r="C729" s="102" t="s">
        <v>979</v>
      </c>
      <c r="D729" s="103">
        <v>40000</v>
      </c>
      <c r="E729" s="103">
        <v>18406.599999999999</v>
      </c>
      <c r="F729" s="104">
        <f t="shared" si="72"/>
        <v>21593.4</v>
      </c>
    </row>
    <row r="730" spans="1:6" ht="23.5" customHeight="1" x14ac:dyDescent="0.25">
      <c r="A730" s="101" t="s">
        <v>980</v>
      </c>
      <c r="B730" s="105" t="s">
        <v>386</v>
      </c>
      <c r="C730" s="102" t="s">
        <v>981</v>
      </c>
      <c r="D730" s="103">
        <f t="shared" si="78"/>
        <v>10000</v>
      </c>
      <c r="E730" s="103">
        <f t="shared" si="78"/>
        <v>0</v>
      </c>
      <c r="F730" s="104">
        <f t="shared" si="72"/>
        <v>10000</v>
      </c>
    </row>
    <row r="731" spans="1:6" ht="16" customHeight="1" x14ac:dyDescent="0.25">
      <c r="A731" s="101" t="s">
        <v>711</v>
      </c>
      <c r="B731" s="105" t="s">
        <v>386</v>
      </c>
      <c r="C731" s="102" t="s">
        <v>982</v>
      </c>
      <c r="D731" s="103">
        <v>10000</v>
      </c>
      <c r="E731" s="103"/>
      <c r="F731" s="104">
        <f t="shared" si="72"/>
        <v>10000</v>
      </c>
    </row>
    <row r="732" spans="1:6" ht="85.5" customHeight="1" x14ac:dyDescent="0.3">
      <c r="A732" s="100" t="s">
        <v>983</v>
      </c>
      <c r="B732" s="92" t="s">
        <v>386</v>
      </c>
      <c r="C732" s="99" t="s">
        <v>984</v>
      </c>
      <c r="D732" s="94">
        <f t="shared" ref="D732:E734" si="79">D733</f>
        <v>40000</v>
      </c>
      <c r="E732" s="94">
        <f t="shared" si="79"/>
        <v>40000</v>
      </c>
      <c r="F732" s="95">
        <f t="shared" si="72"/>
        <v>0</v>
      </c>
    </row>
    <row r="733" spans="1:6" ht="23" x14ac:dyDescent="0.25">
      <c r="A733" s="101" t="s">
        <v>488</v>
      </c>
      <c r="B733" s="105" t="s">
        <v>386</v>
      </c>
      <c r="C733" s="102" t="s">
        <v>985</v>
      </c>
      <c r="D733" s="103">
        <f t="shared" si="79"/>
        <v>40000</v>
      </c>
      <c r="E733" s="103">
        <f t="shared" si="79"/>
        <v>40000</v>
      </c>
      <c r="F733" s="104">
        <f t="shared" si="72"/>
        <v>0</v>
      </c>
    </row>
    <row r="734" spans="1:6" ht="34.5" x14ac:dyDescent="0.3">
      <c r="A734" s="101" t="s">
        <v>394</v>
      </c>
      <c r="B734" s="105" t="s">
        <v>386</v>
      </c>
      <c r="C734" s="102" t="s">
        <v>986</v>
      </c>
      <c r="D734" s="103">
        <f t="shared" si="79"/>
        <v>40000</v>
      </c>
      <c r="E734" s="103">
        <f t="shared" si="79"/>
        <v>40000</v>
      </c>
      <c r="F734" s="95">
        <f t="shared" si="72"/>
        <v>0</v>
      </c>
    </row>
    <row r="735" spans="1:6" x14ac:dyDescent="0.25">
      <c r="A735" s="101" t="s">
        <v>396</v>
      </c>
      <c r="B735" s="105" t="s">
        <v>386</v>
      </c>
      <c r="C735" s="102" t="s">
        <v>987</v>
      </c>
      <c r="D735" s="103">
        <v>40000</v>
      </c>
      <c r="E735" s="103">
        <v>40000</v>
      </c>
      <c r="F735" s="104">
        <f t="shared" si="72"/>
        <v>0</v>
      </c>
    </row>
    <row r="736" spans="1:6" ht="126.5" x14ac:dyDescent="0.3">
      <c r="A736" s="100" t="s">
        <v>988</v>
      </c>
      <c r="B736" s="92" t="s">
        <v>386</v>
      </c>
      <c r="C736" s="99" t="s">
        <v>989</v>
      </c>
      <c r="D736" s="94">
        <f t="shared" ref="D736:E738" si="80">D737</f>
        <v>70</v>
      </c>
      <c r="E736" s="94">
        <f t="shared" si="80"/>
        <v>0</v>
      </c>
      <c r="F736" s="95">
        <f t="shared" si="72"/>
        <v>70</v>
      </c>
    </row>
    <row r="737" spans="1:6" x14ac:dyDescent="0.25">
      <c r="A737" s="101" t="s">
        <v>496</v>
      </c>
      <c r="B737" s="105" t="s">
        <v>386</v>
      </c>
      <c r="C737" s="102" t="s">
        <v>990</v>
      </c>
      <c r="D737" s="103">
        <f t="shared" si="80"/>
        <v>70</v>
      </c>
      <c r="E737" s="103">
        <f t="shared" si="80"/>
        <v>0</v>
      </c>
      <c r="F737" s="104">
        <f t="shared" si="72"/>
        <v>70</v>
      </c>
    </row>
    <row r="738" spans="1:6" ht="46" x14ac:dyDescent="0.25">
      <c r="A738" s="101" t="s">
        <v>991</v>
      </c>
      <c r="B738" s="105" t="s">
        <v>386</v>
      </c>
      <c r="C738" s="102" t="s">
        <v>992</v>
      </c>
      <c r="D738" s="103">
        <f t="shared" si="80"/>
        <v>70</v>
      </c>
      <c r="E738" s="103">
        <f t="shared" si="80"/>
        <v>0</v>
      </c>
      <c r="F738" s="104">
        <f t="shared" si="72"/>
        <v>70</v>
      </c>
    </row>
    <row r="739" spans="1:6" ht="50.5" customHeight="1" x14ac:dyDescent="0.25">
      <c r="A739" s="101" t="s">
        <v>993</v>
      </c>
      <c r="B739" s="105" t="s">
        <v>386</v>
      </c>
      <c r="C739" s="102" t="s">
        <v>994</v>
      </c>
      <c r="D739" s="103">
        <v>70</v>
      </c>
      <c r="E739" s="103"/>
      <c r="F739" s="104">
        <f t="shared" si="72"/>
        <v>70</v>
      </c>
    </row>
    <row r="740" spans="1:6" s="55" customFormat="1" ht="92" x14ac:dyDescent="0.3">
      <c r="A740" s="100" t="s">
        <v>995</v>
      </c>
      <c r="B740" s="92" t="s">
        <v>386</v>
      </c>
      <c r="C740" s="99" t="s">
        <v>996</v>
      </c>
      <c r="D740" s="94">
        <f t="shared" ref="D740:E742" si="81">D741</f>
        <v>644930</v>
      </c>
      <c r="E740" s="94">
        <f t="shared" si="81"/>
        <v>353450</v>
      </c>
      <c r="F740" s="95">
        <f t="shared" si="72"/>
        <v>291480</v>
      </c>
    </row>
    <row r="741" spans="1:6" s="55" customFormat="1" ht="13" x14ac:dyDescent="0.3">
      <c r="A741" s="101" t="s">
        <v>496</v>
      </c>
      <c r="B741" s="105" t="s">
        <v>386</v>
      </c>
      <c r="C741" s="102" t="s">
        <v>997</v>
      </c>
      <c r="D741" s="103">
        <f t="shared" si="81"/>
        <v>644930</v>
      </c>
      <c r="E741" s="103">
        <f t="shared" si="81"/>
        <v>353450</v>
      </c>
      <c r="F741" s="104">
        <f t="shared" si="72"/>
        <v>291480</v>
      </c>
    </row>
    <row r="742" spans="1:6" s="55" customFormat="1" ht="46" x14ac:dyDescent="0.3">
      <c r="A742" s="101" t="s">
        <v>991</v>
      </c>
      <c r="B742" s="105" t="s">
        <v>386</v>
      </c>
      <c r="C742" s="102" t="s">
        <v>998</v>
      </c>
      <c r="D742" s="103">
        <f t="shared" si="81"/>
        <v>644930</v>
      </c>
      <c r="E742" s="103">
        <f t="shared" si="81"/>
        <v>353450</v>
      </c>
      <c r="F742" s="104">
        <f t="shared" si="72"/>
        <v>291480</v>
      </c>
    </row>
    <row r="743" spans="1:6" s="55" customFormat="1" ht="50.5" customHeight="1" x14ac:dyDescent="0.3">
      <c r="A743" s="101" t="s">
        <v>993</v>
      </c>
      <c r="B743" s="105" t="s">
        <v>386</v>
      </c>
      <c r="C743" s="102" t="s">
        <v>999</v>
      </c>
      <c r="D743" s="103">
        <f>D748+D752</f>
        <v>644930</v>
      </c>
      <c r="E743" s="103">
        <f>E748+E752</f>
        <v>353450</v>
      </c>
      <c r="F743" s="104">
        <f t="shared" si="72"/>
        <v>291480</v>
      </c>
    </row>
    <row r="744" spans="1:6" s="55" customFormat="1" ht="13" x14ac:dyDescent="0.3">
      <c r="A744" s="98" t="s">
        <v>121</v>
      </c>
      <c r="B744" s="105"/>
      <c r="C744" s="102"/>
      <c r="D744" s="103"/>
      <c r="E744" s="103"/>
      <c r="F744" s="104"/>
    </row>
    <row r="745" spans="1:6" s="55" customFormat="1" ht="13.5" x14ac:dyDescent="0.3">
      <c r="A745" s="108" t="s">
        <v>410</v>
      </c>
      <c r="B745" s="92" t="s">
        <v>386</v>
      </c>
      <c r="C745" s="99" t="s">
        <v>996</v>
      </c>
      <c r="D745" s="94">
        <f t="shared" ref="D745:E751" si="82">D746</f>
        <v>199930</v>
      </c>
      <c r="E745" s="94">
        <f t="shared" si="82"/>
        <v>109569.5</v>
      </c>
      <c r="F745" s="95">
        <f t="shared" ref="F745:F848" si="83">D745-E745</f>
        <v>90360.5</v>
      </c>
    </row>
    <row r="746" spans="1:6" s="55" customFormat="1" ht="13" x14ac:dyDescent="0.3">
      <c r="A746" s="101" t="s">
        <v>496</v>
      </c>
      <c r="B746" s="105" t="s">
        <v>386</v>
      </c>
      <c r="C746" s="102" t="s">
        <v>997</v>
      </c>
      <c r="D746" s="103">
        <f t="shared" si="82"/>
        <v>199930</v>
      </c>
      <c r="E746" s="103">
        <f t="shared" si="82"/>
        <v>109569.5</v>
      </c>
      <c r="F746" s="104">
        <f t="shared" si="83"/>
        <v>90360.5</v>
      </c>
    </row>
    <row r="747" spans="1:6" s="55" customFormat="1" ht="46" x14ac:dyDescent="0.3">
      <c r="A747" s="101" t="s">
        <v>991</v>
      </c>
      <c r="B747" s="105" t="s">
        <v>386</v>
      </c>
      <c r="C747" s="102" t="s">
        <v>998</v>
      </c>
      <c r="D747" s="103">
        <f t="shared" si="82"/>
        <v>199930</v>
      </c>
      <c r="E747" s="103">
        <f t="shared" si="82"/>
        <v>109569.5</v>
      </c>
      <c r="F747" s="104">
        <f t="shared" si="83"/>
        <v>90360.5</v>
      </c>
    </row>
    <row r="748" spans="1:6" s="55" customFormat="1" ht="49" customHeight="1" x14ac:dyDescent="0.3">
      <c r="A748" s="101" t="s">
        <v>993</v>
      </c>
      <c r="B748" s="105" t="s">
        <v>386</v>
      </c>
      <c r="C748" s="102" t="s">
        <v>999</v>
      </c>
      <c r="D748" s="103">
        <f>200000-70</f>
        <v>199930</v>
      </c>
      <c r="E748" s="103">
        <f>109569.5</f>
        <v>109569.5</v>
      </c>
      <c r="F748" s="104">
        <f t="shared" si="83"/>
        <v>90360.5</v>
      </c>
    </row>
    <row r="749" spans="1:6" s="55" customFormat="1" ht="13.5" x14ac:dyDescent="0.3">
      <c r="A749" s="108" t="s">
        <v>411</v>
      </c>
      <c r="B749" s="92" t="s">
        <v>386</v>
      </c>
      <c r="C749" s="99" t="s">
        <v>996</v>
      </c>
      <c r="D749" s="94">
        <f t="shared" si="82"/>
        <v>445000</v>
      </c>
      <c r="E749" s="94">
        <f t="shared" si="82"/>
        <v>243880.5</v>
      </c>
      <c r="F749" s="95">
        <f t="shared" si="83"/>
        <v>201119.5</v>
      </c>
    </row>
    <row r="750" spans="1:6" s="55" customFormat="1" ht="13" x14ac:dyDescent="0.3">
      <c r="A750" s="101" t="s">
        <v>496</v>
      </c>
      <c r="B750" s="105" t="s">
        <v>386</v>
      </c>
      <c r="C750" s="102" t="s">
        <v>997</v>
      </c>
      <c r="D750" s="103">
        <f t="shared" si="82"/>
        <v>445000</v>
      </c>
      <c r="E750" s="103">
        <f t="shared" si="82"/>
        <v>243880.5</v>
      </c>
      <c r="F750" s="104">
        <f t="shared" si="83"/>
        <v>201119.5</v>
      </c>
    </row>
    <row r="751" spans="1:6" s="55" customFormat="1" ht="46" x14ac:dyDescent="0.3">
      <c r="A751" s="101" t="s">
        <v>991</v>
      </c>
      <c r="B751" s="105" t="s">
        <v>386</v>
      </c>
      <c r="C751" s="102" t="s">
        <v>998</v>
      </c>
      <c r="D751" s="103">
        <f t="shared" si="82"/>
        <v>445000</v>
      </c>
      <c r="E751" s="103">
        <f t="shared" si="82"/>
        <v>243880.5</v>
      </c>
      <c r="F751" s="104">
        <f t="shared" si="83"/>
        <v>201119.5</v>
      </c>
    </row>
    <row r="752" spans="1:6" s="55" customFormat="1" ht="48" customHeight="1" x14ac:dyDescent="0.3">
      <c r="A752" s="101" t="s">
        <v>993</v>
      </c>
      <c r="B752" s="105" t="s">
        <v>386</v>
      </c>
      <c r="C752" s="102" t="s">
        <v>999</v>
      </c>
      <c r="D752" s="103">
        <v>445000</v>
      </c>
      <c r="E752" s="103">
        <f>243880.5</f>
        <v>243880.5</v>
      </c>
      <c r="F752" s="104">
        <f t="shared" si="83"/>
        <v>201119.5</v>
      </c>
    </row>
    <row r="753" spans="1:6" s="55" customFormat="1" ht="52" x14ac:dyDescent="0.3">
      <c r="A753" s="98" t="s">
        <v>1000</v>
      </c>
      <c r="B753" s="92" t="s">
        <v>386</v>
      </c>
      <c r="C753" s="99" t="s">
        <v>1001</v>
      </c>
      <c r="D753" s="94">
        <f>D754+D758</f>
        <v>721999</v>
      </c>
      <c r="E753" s="94">
        <f>E754+E758</f>
        <v>721981</v>
      </c>
      <c r="F753" s="95">
        <f t="shared" si="83"/>
        <v>18</v>
      </c>
    </row>
    <row r="754" spans="1:6" s="55" customFormat="1" ht="95" customHeight="1" x14ac:dyDescent="0.3">
      <c r="A754" s="100" t="s">
        <v>1002</v>
      </c>
      <c r="B754" s="92" t="s">
        <v>386</v>
      </c>
      <c r="C754" s="99" t="s">
        <v>1003</v>
      </c>
      <c r="D754" s="94">
        <f t="shared" ref="D754:E756" si="84">D755</f>
        <v>315650</v>
      </c>
      <c r="E754" s="94">
        <f t="shared" si="84"/>
        <v>315650</v>
      </c>
      <c r="F754" s="95">
        <f t="shared" si="83"/>
        <v>0</v>
      </c>
    </row>
    <row r="755" spans="1:6" s="55" customFormat="1" ht="34.5" x14ac:dyDescent="0.3">
      <c r="A755" s="101" t="s">
        <v>922</v>
      </c>
      <c r="B755" s="105" t="s">
        <v>386</v>
      </c>
      <c r="C755" s="102" t="s">
        <v>1004</v>
      </c>
      <c r="D755" s="103">
        <f t="shared" si="84"/>
        <v>315650</v>
      </c>
      <c r="E755" s="103">
        <f t="shared" si="84"/>
        <v>315650</v>
      </c>
      <c r="F755" s="104">
        <f t="shared" si="83"/>
        <v>0</v>
      </c>
    </row>
    <row r="756" spans="1:6" s="55" customFormat="1" ht="34.5" x14ac:dyDescent="0.3">
      <c r="A756" s="132" t="s">
        <v>394</v>
      </c>
      <c r="B756" s="105" t="s">
        <v>386</v>
      </c>
      <c r="C756" s="102" t="s">
        <v>1005</v>
      </c>
      <c r="D756" s="103">
        <f t="shared" si="84"/>
        <v>315650</v>
      </c>
      <c r="E756" s="103">
        <f t="shared" si="84"/>
        <v>315650</v>
      </c>
      <c r="F756" s="104">
        <f t="shared" si="83"/>
        <v>0</v>
      </c>
    </row>
    <row r="757" spans="1:6" s="55" customFormat="1" ht="13" x14ac:dyDescent="0.3">
      <c r="A757" s="101" t="s">
        <v>396</v>
      </c>
      <c r="B757" s="105" t="s">
        <v>386</v>
      </c>
      <c r="C757" s="102" t="s">
        <v>1006</v>
      </c>
      <c r="D757" s="103">
        <v>315650</v>
      </c>
      <c r="E757" s="103">
        <v>315650</v>
      </c>
      <c r="F757" s="104">
        <f t="shared" si="83"/>
        <v>0</v>
      </c>
    </row>
    <row r="758" spans="1:6" s="55" customFormat="1" ht="69" x14ac:dyDescent="0.3">
      <c r="A758" s="100" t="s">
        <v>1007</v>
      </c>
      <c r="B758" s="92" t="s">
        <v>386</v>
      </c>
      <c r="C758" s="99" t="s">
        <v>1008</v>
      </c>
      <c r="D758" s="94">
        <f t="shared" ref="D758:E760" si="85">D759</f>
        <v>406349</v>
      </c>
      <c r="E758" s="94">
        <f t="shared" si="85"/>
        <v>406331</v>
      </c>
      <c r="F758" s="95">
        <f>D758-E758</f>
        <v>18</v>
      </c>
    </row>
    <row r="759" spans="1:6" s="55" customFormat="1" ht="34.5" x14ac:dyDescent="0.3">
      <c r="A759" s="101" t="s">
        <v>922</v>
      </c>
      <c r="B759" s="105" t="s">
        <v>386</v>
      </c>
      <c r="C759" s="102" t="s">
        <v>1009</v>
      </c>
      <c r="D759" s="103">
        <f t="shared" si="85"/>
        <v>406349</v>
      </c>
      <c r="E759" s="103">
        <f t="shared" si="85"/>
        <v>406331</v>
      </c>
      <c r="F759" s="104">
        <f>D759-E759</f>
        <v>18</v>
      </c>
    </row>
    <row r="760" spans="1:6" s="55" customFormat="1" ht="34.5" x14ac:dyDescent="0.3">
      <c r="A760" s="132" t="s">
        <v>394</v>
      </c>
      <c r="B760" s="105" t="s">
        <v>386</v>
      </c>
      <c r="C760" s="102" t="s">
        <v>1010</v>
      </c>
      <c r="D760" s="103">
        <f t="shared" si="85"/>
        <v>406349</v>
      </c>
      <c r="E760" s="103">
        <f t="shared" si="85"/>
        <v>406331</v>
      </c>
      <c r="F760" s="104">
        <f>D760-E760</f>
        <v>18</v>
      </c>
    </row>
    <row r="761" spans="1:6" s="55" customFormat="1" ht="13" x14ac:dyDescent="0.3">
      <c r="A761" s="101" t="s">
        <v>396</v>
      </c>
      <c r="B761" s="105" t="s">
        <v>386</v>
      </c>
      <c r="C761" s="102" t="s">
        <v>1011</v>
      </c>
      <c r="D761" s="103">
        <f>D766+D770</f>
        <v>406349</v>
      </c>
      <c r="E761" s="103">
        <f>E766+E770</f>
        <v>406331</v>
      </c>
      <c r="F761" s="104">
        <f>D761-E761</f>
        <v>18</v>
      </c>
    </row>
    <row r="762" spans="1:6" s="55" customFormat="1" ht="13" x14ac:dyDescent="0.3">
      <c r="A762" s="100" t="s">
        <v>121</v>
      </c>
      <c r="B762" s="105"/>
      <c r="C762" s="131"/>
      <c r="D762" s="103"/>
      <c r="E762" s="103"/>
      <c r="F762" s="104"/>
    </row>
    <row r="763" spans="1:6" s="55" customFormat="1" ht="13" x14ac:dyDescent="0.3">
      <c r="A763" s="126" t="s">
        <v>410</v>
      </c>
      <c r="B763" s="92" t="s">
        <v>386</v>
      </c>
      <c r="C763" s="99" t="s">
        <v>1008</v>
      </c>
      <c r="D763" s="94">
        <f t="shared" ref="D763:E765" si="86">D764</f>
        <v>153529</v>
      </c>
      <c r="E763" s="94">
        <f t="shared" si="86"/>
        <v>153511.85</v>
      </c>
      <c r="F763" s="95">
        <f t="shared" ref="F763:F770" si="87">D763-E763</f>
        <v>17.149999999994179</v>
      </c>
    </row>
    <row r="764" spans="1:6" s="55" customFormat="1" ht="34.5" x14ac:dyDescent="0.3">
      <c r="A764" s="101" t="s">
        <v>922</v>
      </c>
      <c r="B764" s="105" t="s">
        <v>386</v>
      </c>
      <c r="C764" s="102" t="s">
        <v>1009</v>
      </c>
      <c r="D764" s="103">
        <f t="shared" si="86"/>
        <v>153529</v>
      </c>
      <c r="E764" s="103">
        <f t="shared" si="86"/>
        <v>153511.85</v>
      </c>
      <c r="F764" s="104">
        <f t="shared" si="87"/>
        <v>17.149999999994179</v>
      </c>
    </row>
    <row r="765" spans="1:6" s="55" customFormat="1" ht="34.5" x14ac:dyDescent="0.3">
      <c r="A765" s="132" t="s">
        <v>394</v>
      </c>
      <c r="B765" s="105" t="s">
        <v>386</v>
      </c>
      <c r="C765" s="102" t="s">
        <v>1010</v>
      </c>
      <c r="D765" s="103">
        <f t="shared" si="86"/>
        <v>153529</v>
      </c>
      <c r="E765" s="103">
        <f t="shared" si="86"/>
        <v>153511.85</v>
      </c>
      <c r="F765" s="104">
        <f t="shared" si="87"/>
        <v>17.149999999994179</v>
      </c>
    </row>
    <row r="766" spans="1:6" s="55" customFormat="1" ht="13" x14ac:dyDescent="0.3">
      <c r="A766" s="101" t="s">
        <v>396</v>
      </c>
      <c r="B766" s="105" t="s">
        <v>386</v>
      </c>
      <c r="C766" s="102" t="s">
        <v>1011</v>
      </c>
      <c r="D766" s="103">
        <v>153529</v>
      </c>
      <c r="E766" s="103">
        <f>153511.85</f>
        <v>153511.85</v>
      </c>
      <c r="F766" s="104">
        <f t="shared" si="87"/>
        <v>17.149999999994179</v>
      </c>
    </row>
    <row r="767" spans="1:6" s="55" customFormat="1" ht="13" x14ac:dyDescent="0.3">
      <c r="A767" s="126" t="s">
        <v>411</v>
      </c>
      <c r="B767" s="92" t="s">
        <v>386</v>
      </c>
      <c r="C767" s="99" t="s">
        <v>1008</v>
      </c>
      <c r="D767" s="94">
        <f t="shared" ref="D767:E769" si="88">D768</f>
        <v>252820</v>
      </c>
      <c r="E767" s="94">
        <f t="shared" si="88"/>
        <v>252819.15</v>
      </c>
      <c r="F767" s="95">
        <f t="shared" si="87"/>
        <v>0.85000000000582077</v>
      </c>
    </row>
    <row r="768" spans="1:6" s="55" customFormat="1" ht="34.5" x14ac:dyDescent="0.3">
      <c r="A768" s="101" t="s">
        <v>922</v>
      </c>
      <c r="B768" s="105" t="s">
        <v>386</v>
      </c>
      <c r="C768" s="102" t="s">
        <v>1009</v>
      </c>
      <c r="D768" s="103">
        <f t="shared" si="88"/>
        <v>252820</v>
      </c>
      <c r="E768" s="103">
        <f t="shared" si="88"/>
        <v>252819.15</v>
      </c>
      <c r="F768" s="104">
        <f t="shared" si="87"/>
        <v>0.85000000000582077</v>
      </c>
    </row>
    <row r="769" spans="1:6" s="55" customFormat="1" ht="34.5" x14ac:dyDescent="0.3">
      <c r="A769" s="132" t="s">
        <v>394</v>
      </c>
      <c r="B769" s="105" t="s">
        <v>386</v>
      </c>
      <c r="C769" s="102" t="s">
        <v>1010</v>
      </c>
      <c r="D769" s="103">
        <f t="shared" si="88"/>
        <v>252820</v>
      </c>
      <c r="E769" s="103">
        <f t="shared" si="88"/>
        <v>252819.15</v>
      </c>
      <c r="F769" s="104">
        <f t="shared" si="87"/>
        <v>0.85000000000582077</v>
      </c>
    </row>
    <row r="770" spans="1:6" s="55" customFormat="1" ht="13" x14ac:dyDescent="0.3">
      <c r="A770" s="101" t="s">
        <v>396</v>
      </c>
      <c r="B770" s="105" t="s">
        <v>386</v>
      </c>
      <c r="C770" s="102" t="s">
        <v>1011</v>
      </c>
      <c r="D770" s="103">
        <f>1203880-951060</f>
        <v>252820</v>
      </c>
      <c r="E770" s="103">
        <f>252819.15</f>
        <v>252819.15</v>
      </c>
      <c r="F770" s="104">
        <f t="shared" si="87"/>
        <v>0.85000000000582077</v>
      </c>
    </row>
    <row r="771" spans="1:6" s="55" customFormat="1" ht="26" x14ac:dyDescent="0.3">
      <c r="A771" s="98" t="s">
        <v>1012</v>
      </c>
      <c r="B771" s="92" t="s">
        <v>386</v>
      </c>
      <c r="C771" s="118" t="s">
        <v>1013</v>
      </c>
      <c r="D771" s="94">
        <f>D772+D802+D857</f>
        <v>294006095.07000005</v>
      </c>
      <c r="E771" s="94">
        <f>E772+E802+E857</f>
        <v>230497641.67999998</v>
      </c>
      <c r="F771" s="95">
        <f t="shared" si="83"/>
        <v>63508453.390000075</v>
      </c>
    </row>
    <row r="772" spans="1:6" s="55" customFormat="1" ht="13" x14ac:dyDescent="0.3">
      <c r="A772" s="98" t="s">
        <v>1014</v>
      </c>
      <c r="B772" s="92" t="s">
        <v>386</v>
      </c>
      <c r="C772" s="118" t="s">
        <v>1015</v>
      </c>
      <c r="D772" s="94">
        <f>D773+D790+D794+D798</f>
        <v>11979543</v>
      </c>
      <c r="E772" s="94">
        <f>E773+E790+E794+E798</f>
        <v>10175390.34</v>
      </c>
      <c r="F772" s="95">
        <f t="shared" si="83"/>
        <v>1804152.6600000001</v>
      </c>
    </row>
    <row r="773" spans="1:6" ht="26" x14ac:dyDescent="0.3">
      <c r="A773" s="98" t="s">
        <v>1016</v>
      </c>
      <c r="B773" s="92" t="s">
        <v>386</v>
      </c>
      <c r="C773" s="99" t="s">
        <v>1017</v>
      </c>
      <c r="D773" s="94">
        <f>D774+D778+D782+D786</f>
        <v>6424923</v>
      </c>
      <c r="E773" s="94">
        <f>E774+E778+E782+E786</f>
        <v>5519749.8100000005</v>
      </c>
      <c r="F773" s="95">
        <f t="shared" si="83"/>
        <v>905173.18999999948</v>
      </c>
    </row>
    <row r="774" spans="1:6" ht="46" hidden="1" x14ac:dyDescent="0.3">
      <c r="A774" s="133" t="s">
        <v>1018</v>
      </c>
      <c r="B774" s="92" t="s">
        <v>386</v>
      </c>
      <c r="C774" s="99" t="s">
        <v>1019</v>
      </c>
      <c r="D774" s="94">
        <f t="shared" ref="D774:E776" si="89">D775</f>
        <v>0</v>
      </c>
      <c r="E774" s="94">
        <f t="shared" si="89"/>
        <v>0</v>
      </c>
      <c r="F774" s="95">
        <f t="shared" si="83"/>
        <v>0</v>
      </c>
    </row>
    <row r="775" spans="1:6" ht="23" hidden="1" x14ac:dyDescent="0.25">
      <c r="A775" s="130" t="s">
        <v>488</v>
      </c>
      <c r="B775" s="105" t="s">
        <v>386</v>
      </c>
      <c r="C775" s="102" t="s">
        <v>1020</v>
      </c>
      <c r="D775" s="103">
        <f t="shared" si="89"/>
        <v>0</v>
      </c>
      <c r="E775" s="103">
        <f t="shared" si="89"/>
        <v>0</v>
      </c>
      <c r="F775" s="104">
        <f t="shared" si="83"/>
        <v>0</v>
      </c>
    </row>
    <row r="776" spans="1:6" ht="34.5" hidden="1" x14ac:dyDescent="0.25">
      <c r="A776" s="101" t="s">
        <v>394</v>
      </c>
      <c r="B776" s="105" t="s">
        <v>386</v>
      </c>
      <c r="C776" s="102" t="s">
        <v>1021</v>
      </c>
      <c r="D776" s="103">
        <f t="shared" si="89"/>
        <v>0</v>
      </c>
      <c r="E776" s="103">
        <f t="shared" si="89"/>
        <v>0</v>
      </c>
      <c r="F776" s="104">
        <f t="shared" si="83"/>
        <v>0</v>
      </c>
    </row>
    <row r="777" spans="1:6" s="55" customFormat="1" ht="13" hidden="1" x14ac:dyDescent="0.3">
      <c r="A777" s="101" t="s">
        <v>396</v>
      </c>
      <c r="B777" s="105" t="s">
        <v>386</v>
      </c>
      <c r="C777" s="102" t="s">
        <v>1022</v>
      </c>
      <c r="D777" s="103"/>
      <c r="E777" s="103"/>
      <c r="F777" s="104">
        <f t="shared" si="83"/>
        <v>0</v>
      </c>
    </row>
    <row r="778" spans="1:6" ht="86" customHeight="1" x14ac:dyDescent="0.3">
      <c r="A778" s="100" t="s">
        <v>1023</v>
      </c>
      <c r="B778" s="92" t="s">
        <v>386</v>
      </c>
      <c r="C778" s="99" t="s">
        <v>1024</v>
      </c>
      <c r="D778" s="94">
        <f>D779</f>
        <v>2696500</v>
      </c>
      <c r="E778" s="94">
        <f>E779</f>
        <v>2696500</v>
      </c>
      <c r="F778" s="95">
        <f t="shared" si="83"/>
        <v>0</v>
      </c>
    </row>
    <row r="779" spans="1:6" x14ac:dyDescent="0.25">
      <c r="A779" s="101" t="s">
        <v>496</v>
      </c>
      <c r="B779" s="105" t="s">
        <v>386</v>
      </c>
      <c r="C779" s="102" t="s">
        <v>1025</v>
      </c>
      <c r="D779" s="103">
        <f>D780</f>
        <v>2696500</v>
      </c>
      <c r="E779" s="103">
        <f>E780</f>
        <v>2696500</v>
      </c>
      <c r="F779" s="104">
        <f>D779-E779</f>
        <v>0</v>
      </c>
    </row>
    <row r="780" spans="1:6" x14ac:dyDescent="0.25">
      <c r="A780" s="101" t="s">
        <v>498</v>
      </c>
      <c r="B780" s="105" t="s">
        <v>386</v>
      </c>
      <c r="C780" s="102" t="s">
        <v>1026</v>
      </c>
      <c r="D780" s="103">
        <f>SUM(D781:D781)</f>
        <v>2696500</v>
      </c>
      <c r="E780" s="103">
        <f>SUM(E781:E781)</f>
        <v>2696500</v>
      </c>
      <c r="F780" s="104">
        <f>D780-E780</f>
        <v>0</v>
      </c>
    </row>
    <row r="781" spans="1:6" x14ac:dyDescent="0.25">
      <c r="A781" s="101" t="s">
        <v>504</v>
      </c>
      <c r="B781" s="105" t="s">
        <v>386</v>
      </c>
      <c r="C781" s="102" t="s">
        <v>1027</v>
      </c>
      <c r="D781" s="103">
        <v>2696500</v>
      </c>
      <c r="E781" s="103">
        <v>2696500</v>
      </c>
      <c r="F781" s="104">
        <f>D781-E781</f>
        <v>0</v>
      </c>
    </row>
    <row r="782" spans="1:6" ht="73.5" customHeight="1" x14ac:dyDescent="0.3">
      <c r="A782" s="100" t="s">
        <v>1028</v>
      </c>
      <c r="B782" s="92" t="s">
        <v>386</v>
      </c>
      <c r="C782" s="99" t="s">
        <v>1029</v>
      </c>
      <c r="D782" s="94">
        <f>D783</f>
        <v>3728423</v>
      </c>
      <c r="E782" s="94">
        <f>E783</f>
        <v>2823249.81</v>
      </c>
      <c r="F782" s="95">
        <f t="shared" si="83"/>
        <v>905173.19</v>
      </c>
    </row>
    <row r="783" spans="1:6" ht="23" x14ac:dyDescent="0.25">
      <c r="A783" s="101" t="s">
        <v>488</v>
      </c>
      <c r="B783" s="105" t="s">
        <v>386</v>
      </c>
      <c r="C783" s="102" t="s">
        <v>1030</v>
      </c>
      <c r="D783" s="103">
        <f>D784</f>
        <v>3728423</v>
      </c>
      <c r="E783" s="103">
        <f>E784</f>
        <v>2823249.81</v>
      </c>
      <c r="F783" s="104">
        <f t="shared" si="83"/>
        <v>905173.19</v>
      </c>
    </row>
    <row r="784" spans="1:6" ht="34.5" x14ac:dyDescent="0.25">
      <c r="A784" s="101" t="s">
        <v>394</v>
      </c>
      <c r="B784" s="105" t="s">
        <v>386</v>
      </c>
      <c r="C784" s="102" t="s">
        <v>1031</v>
      </c>
      <c r="D784" s="103">
        <f>SUM(D785:D785)</f>
        <v>3728423</v>
      </c>
      <c r="E784" s="103">
        <f>SUM(E785:E785)</f>
        <v>2823249.81</v>
      </c>
      <c r="F784" s="104">
        <f t="shared" si="83"/>
        <v>905173.19</v>
      </c>
    </row>
    <row r="785" spans="1:6" x14ac:dyDescent="0.25">
      <c r="A785" s="101" t="s">
        <v>396</v>
      </c>
      <c r="B785" s="105" t="s">
        <v>386</v>
      </c>
      <c r="C785" s="102" t="s">
        <v>1032</v>
      </c>
      <c r="D785" s="103">
        <v>3728423</v>
      </c>
      <c r="E785" s="103">
        <v>2823249.81</v>
      </c>
      <c r="F785" s="104">
        <f t="shared" si="83"/>
        <v>905173.19</v>
      </c>
    </row>
    <row r="786" spans="1:6" ht="69" hidden="1" x14ac:dyDescent="0.3">
      <c r="A786" s="100" t="s">
        <v>1033</v>
      </c>
      <c r="B786" s="92" t="s">
        <v>386</v>
      </c>
      <c r="C786" s="99" t="s">
        <v>1034</v>
      </c>
      <c r="D786" s="94">
        <f>D787</f>
        <v>0</v>
      </c>
      <c r="E786" s="94">
        <f>E787</f>
        <v>0</v>
      </c>
      <c r="F786" s="95">
        <f t="shared" si="83"/>
        <v>0</v>
      </c>
    </row>
    <row r="787" spans="1:6" hidden="1" x14ac:dyDescent="0.25">
      <c r="A787" s="101" t="s">
        <v>496</v>
      </c>
      <c r="B787" s="105" t="s">
        <v>386</v>
      </c>
      <c r="C787" s="102" t="s">
        <v>1035</v>
      </c>
      <c r="D787" s="103">
        <f>D788</f>
        <v>0</v>
      </c>
      <c r="E787" s="103">
        <f>E788</f>
        <v>0</v>
      </c>
      <c r="F787" s="104">
        <f t="shared" si="83"/>
        <v>0</v>
      </c>
    </row>
    <row r="788" spans="1:6" hidden="1" x14ac:dyDescent="0.25">
      <c r="A788" s="101" t="s">
        <v>498</v>
      </c>
      <c r="B788" s="105" t="s">
        <v>386</v>
      </c>
      <c r="C788" s="102" t="s">
        <v>1036</v>
      </c>
      <c r="D788" s="103">
        <f>SUM(D789:D789)</f>
        <v>0</v>
      </c>
      <c r="E788" s="103">
        <f>SUM(E789:E789)</f>
        <v>0</v>
      </c>
      <c r="F788" s="104">
        <f t="shared" si="83"/>
        <v>0</v>
      </c>
    </row>
    <row r="789" spans="1:6" hidden="1" x14ac:dyDescent="0.25">
      <c r="A789" s="101" t="s">
        <v>504</v>
      </c>
      <c r="B789" s="105" t="s">
        <v>386</v>
      </c>
      <c r="C789" s="102" t="s">
        <v>1037</v>
      </c>
      <c r="D789" s="103"/>
      <c r="E789" s="103"/>
      <c r="F789" s="104">
        <f t="shared" si="83"/>
        <v>0</v>
      </c>
    </row>
    <row r="790" spans="1:6" ht="95.5" customHeight="1" x14ac:dyDescent="0.3">
      <c r="A790" s="100" t="s">
        <v>1038</v>
      </c>
      <c r="B790" s="92" t="s">
        <v>386</v>
      </c>
      <c r="C790" s="99" t="s">
        <v>1039</v>
      </c>
      <c r="D790" s="94">
        <f t="shared" ref="D790:E792" si="90">D791</f>
        <v>5554620</v>
      </c>
      <c r="E790" s="94">
        <f t="shared" si="90"/>
        <v>4655640.53</v>
      </c>
      <c r="F790" s="95">
        <f t="shared" si="83"/>
        <v>898979.46999999974</v>
      </c>
    </row>
    <row r="791" spans="1:6" x14ac:dyDescent="0.25">
      <c r="A791" s="101" t="s">
        <v>496</v>
      </c>
      <c r="B791" s="105" t="s">
        <v>386</v>
      </c>
      <c r="C791" s="102" t="s">
        <v>1040</v>
      </c>
      <c r="D791" s="103">
        <f t="shared" si="90"/>
        <v>5554620</v>
      </c>
      <c r="E791" s="103">
        <f t="shared" si="90"/>
        <v>4655640.53</v>
      </c>
      <c r="F791" s="104">
        <f t="shared" si="83"/>
        <v>898979.46999999974</v>
      </c>
    </row>
    <row r="792" spans="1:6" ht="46" x14ac:dyDescent="0.25">
      <c r="A792" s="101" t="s">
        <v>991</v>
      </c>
      <c r="B792" s="105" t="s">
        <v>386</v>
      </c>
      <c r="C792" s="102" t="s">
        <v>1041</v>
      </c>
      <c r="D792" s="103">
        <f t="shared" si="90"/>
        <v>5554620</v>
      </c>
      <c r="E792" s="103">
        <f t="shared" si="90"/>
        <v>4655640.53</v>
      </c>
      <c r="F792" s="104">
        <f t="shared" si="83"/>
        <v>898979.46999999974</v>
      </c>
    </row>
    <row r="793" spans="1:6" ht="51" customHeight="1" x14ac:dyDescent="0.25">
      <c r="A793" s="101" t="s">
        <v>993</v>
      </c>
      <c r="B793" s="105" t="s">
        <v>386</v>
      </c>
      <c r="C793" s="102" t="s">
        <v>1042</v>
      </c>
      <c r="D793" s="103">
        <v>5554620</v>
      </c>
      <c r="E793" s="103">
        <v>4655640.53</v>
      </c>
      <c r="F793" s="104">
        <f t="shared" si="83"/>
        <v>898979.46999999974</v>
      </c>
    </row>
    <row r="794" spans="1:6" ht="26" hidden="1" x14ac:dyDescent="0.3">
      <c r="A794" s="98" t="s">
        <v>683</v>
      </c>
      <c r="B794" s="92" t="s">
        <v>386</v>
      </c>
      <c r="C794" s="99" t="s">
        <v>1043</v>
      </c>
      <c r="D794" s="94">
        <f t="shared" ref="D794:E800" si="91">D795</f>
        <v>0</v>
      </c>
      <c r="E794" s="94">
        <f t="shared" si="91"/>
        <v>0</v>
      </c>
      <c r="F794" s="95">
        <f t="shared" si="83"/>
        <v>0</v>
      </c>
    </row>
    <row r="795" spans="1:6" ht="23" hidden="1" x14ac:dyDescent="0.25">
      <c r="A795" s="101" t="s">
        <v>488</v>
      </c>
      <c r="B795" s="105" t="s">
        <v>386</v>
      </c>
      <c r="C795" s="102" t="s">
        <v>1044</v>
      </c>
      <c r="D795" s="103">
        <f t="shared" si="91"/>
        <v>0</v>
      </c>
      <c r="E795" s="103">
        <f t="shared" si="91"/>
        <v>0</v>
      </c>
      <c r="F795" s="104">
        <f t="shared" si="83"/>
        <v>0</v>
      </c>
    </row>
    <row r="796" spans="1:6" ht="34.5" hidden="1" x14ac:dyDescent="0.25">
      <c r="A796" s="101" t="s">
        <v>394</v>
      </c>
      <c r="B796" s="105" t="s">
        <v>386</v>
      </c>
      <c r="C796" s="102" t="s">
        <v>1045</v>
      </c>
      <c r="D796" s="103">
        <f t="shared" si="91"/>
        <v>0</v>
      </c>
      <c r="E796" s="103">
        <f t="shared" si="91"/>
        <v>0</v>
      </c>
      <c r="F796" s="104">
        <f t="shared" si="83"/>
        <v>0</v>
      </c>
    </row>
    <row r="797" spans="1:6" hidden="1" x14ac:dyDescent="0.25">
      <c r="A797" s="101" t="s">
        <v>396</v>
      </c>
      <c r="B797" s="105" t="s">
        <v>386</v>
      </c>
      <c r="C797" s="102" t="s">
        <v>1046</v>
      </c>
      <c r="D797" s="103"/>
      <c r="E797" s="103"/>
      <c r="F797" s="104">
        <f t="shared" si="83"/>
        <v>0</v>
      </c>
    </row>
    <row r="798" spans="1:6" ht="39" hidden="1" x14ac:dyDescent="0.3">
      <c r="A798" s="98" t="s">
        <v>690</v>
      </c>
      <c r="B798" s="92" t="s">
        <v>386</v>
      </c>
      <c r="C798" s="99" t="s">
        <v>1047</v>
      </c>
      <c r="D798" s="94">
        <f t="shared" si="91"/>
        <v>0</v>
      </c>
      <c r="E798" s="94">
        <f t="shared" si="91"/>
        <v>0</v>
      </c>
      <c r="F798" s="95">
        <f>D798-E798</f>
        <v>0</v>
      </c>
    </row>
    <row r="799" spans="1:6" ht="23" hidden="1" x14ac:dyDescent="0.25">
      <c r="A799" s="101" t="s">
        <v>488</v>
      </c>
      <c r="B799" s="105" t="s">
        <v>386</v>
      </c>
      <c r="C799" s="102" t="s">
        <v>1048</v>
      </c>
      <c r="D799" s="103">
        <f t="shared" si="91"/>
        <v>0</v>
      </c>
      <c r="E799" s="103">
        <f t="shared" si="91"/>
        <v>0</v>
      </c>
      <c r="F799" s="104">
        <f>D799-E799</f>
        <v>0</v>
      </c>
    </row>
    <row r="800" spans="1:6" ht="34.5" hidden="1" x14ac:dyDescent="0.25">
      <c r="A800" s="101" t="s">
        <v>394</v>
      </c>
      <c r="B800" s="105" t="s">
        <v>386</v>
      </c>
      <c r="C800" s="102" t="s">
        <v>1049</v>
      </c>
      <c r="D800" s="103">
        <f t="shared" si="91"/>
        <v>0</v>
      </c>
      <c r="E800" s="103">
        <f t="shared" si="91"/>
        <v>0</v>
      </c>
      <c r="F800" s="104">
        <f>D800-E800</f>
        <v>0</v>
      </c>
    </row>
    <row r="801" spans="1:6" hidden="1" x14ac:dyDescent="0.25">
      <c r="A801" s="101" t="s">
        <v>396</v>
      </c>
      <c r="B801" s="105" t="s">
        <v>386</v>
      </c>
      <c r="C801" s="102" t="s">
        <v>1050</v>
      </c>
      <c r="D801" s="103"/>
      <c r="E801" s="103"/>
      <c r="F801" s="104">
        <f>D801-E801</f>
        <v>0</v>
      </c>
    </row>
    <row r="802" spans="1:6" ht="13" x14ac:dyDescent="0.3">
      <c r="A802" s="98" t="s">
        <v>1051</v>
      </c>
      <c r="B802" s="92" t="s">
        <v>386</v>
      </c>
      <c r="C802" s="118" t="s">
        <v>1052</v>
      </c>
      <c r="D802" s="94">
        <f>D803+D812+D821+D839+D844</f>
        <v>29668393</v>
      </c>
      <c r="E802" s="94">
        <f>E803+E812+E821+E839+E844</f>
        <v>9503160.9700000007</v>
      </c>
      <c r="F802" s="95">
        <f t="shared" si="83"/>
        <v>20165232.030000001</v>
      </c>
    </row>
    <row r="803" spans="1:6" ht="52" x14ac:dyDescent="0.3">
      <c r="A803" s="98" t="s">
        <v>1053</v>
      </c>
      <c r="B803" s="92" t="s">
        <v>386</v>
      </c>
      <c r="C803" s="99" t="s">
        <v>1054</v>
      </c>
      <c r="D803" s="94">
        <f>D804+D808</f>
        <v>1500000</v>
      </c>
      <c r="E803" s="94">
        <f>E804+E808</f>
        <v>302043.71999999997</v>
      </c>
      <c r="F803" s="95">
        <f t="shared" si="83"/>
        <v>1197956.28</v>
      </c>
    </row>
    <row r="804" spans="1:6" ht="57.5" x14ac:dyDescent="0.3">
      <c r="A804" s="100" t="s">
        <v>1055</v>
      </c>
      <c r="B804" s="92" t="s">
        <v>386</v>
      </c>
      <c r="C804" s="99" t="s">
        <v>1056</v>
      </c>
      <c r="D804" s="94">
        <f t="shared" ref="D804:E810" si="92">D805</f>
        <v>1500000</v>
      </c>
      <c r="E804" s="94">
        <f t="shared" si="92"/>
        <v>302043.71999999997</v>
      </c>
      <c r="F804" s="95">
        <f t="shared" si="83"/>
        <v>1197956.28</v>
      </c>
    </row>
    <row r="805" spans="1:6" ht="23" x14ac:dyDescent="0.25">
      <c r="A805" s="101" t="s">
        <v>488</v>
      </c>
      <c r="B805" s="105" t="s">
        <v>386</v>
      </c>
      <c r="C805" s="102" t="s">
        <v>1057</v>
      </c>
      <c r="D805" s="103">
        <f t="shared" si="92"/>
        <v>1500000</v>
      </c>
      <c r="E805" s="103">
        <f t="shared" si="92"/>
        <v>302043.71999999997</v>
      </c>
      <c r="F805" s="104">
        <f t="shared" si="83"/>
        <v>1197956.28</v>
      </c>
    </row>
    <row r="806" spans="1:6" s="55" customFormat="1" ht="34.5" x14ac:dyDescent="0.3">
      <c r="A806" s="101" t="s">
        <v>394</v>
      </c>
      <c r="B806" s="105" t="s">
        <v>386</v>
      </c>
      <c r="C806" s="102" t="s">
        <v>1058</v>
      </c>
      <c r="D806" s="103">
        <f t="shared" si="92"/>
        <v>1500000</v>
      </c>
      <c r="E806" s="103">
        <f t="shared" si="92"/>
        <v>302043.71999999997</v>
      </c>
      <c r="F806" s="104">
        <f t="shared" si="83"/>
        <v>1197956.28</v>
      </c>
    </row>
    <row r="807" spans="1:6" s="55" customFormat="1" ht="13" x14ac:dyDescent="0.3">
      <c r="A807" s="101" t="s">
        <v>396</v>
      </c>
      <c r="B807" s="105" t="s">
        <v>386</v>
      </c>
      <c r="C807" s="102" t="s">
        <v>1059</v>
      </c>
      <c r="D807" s="103">
        <v>1500000</v>
      </c>
      <c r="E807" s="103">
        <v>302043.71999999997</v>
      </c>
      <c r="F807" s="104">
        <f t="shared" si="83"/>
        <v>1197956.28</v>
      </c>
    </row>
    <row r="808" spans="1:6" ht="57.5" hidden="1" x14ac:dyDescent="0.3">
      <c r="A808" s="100" t="s">
        <v>1060</v>
      </c>
      <c r="B808" s="92" t="s">
        <v>386</v>
      </c>
      <c r="C808" s="99" t="s">
        <v>1061</v>
      </c>
      <c r="D808" s="94">
        <f t="shared" si="92"/>
        <v>0</v>
      </c>
      <c r="E808" s="94">
        <f t="shared" si="92"/>
        <v>0</v>
      </c>
      <c r="F808" s="95">
        <f>D808-E808</f>
        <v>0</v>
      </c>
    </row>
    <row r="809" spans="1:6" ht="23" hidden="1" x14ac:dyDescent="0.25">
      <c r="A809" s="101" t="s">
        <v>488</v>
      </c>
      <c r="B809" s="105" t="s">
        <v>386</v>
      </c>
      <c r="C809" s="102" t="s">
        <v>1062</v>
      </c>
      <c r="D809" s="103">
        <f t="shared" si="92"/>
        <v>0</v>
      </c>
      <c r="E809" s="103">
        <f t="shared" si="92"/>
        <v>0</v>
      </c>
      <c r="F809" s="104">
        <f>D809-E809</f>
        <v>0</v>
      </c>
    </row>
    <row r="810" spans="1:6" s="55" customFormat="1" ht="34.5" hidden="1" x14ac:dyDescent="0.3">
      <c r="A810" s="101" t="s">
        <v>394</v>
      </c>
      <c r="B810" s="105" t="s">
        <v>386</v>
      </c>
      <c r="C810" s="102" t="s">
        <v>1063</v>
      </c>
      <c r="D810" s="103">
        <f t="shared" si="92"/>
        <v>0</v>
      </c>
      <c r="E810" s="103">
        <f t="shared" si="92"/>
        <v>0</v>
      </c>
      <c r="F810" s="104">
        <f>D810-E810</f>
        <v>0</v>
      </c>
    </row>
    <row r="811" spans="1:6" s="55" customFormat="1" ht="13" hidden="1" x14ac:dyDescent="0.3">
      <c r="A811" s="101" t="s">
        <v>396</v>
      </c>
      <c r="B811" s="105" t="s">
        <v>386</v>
      </c>
      <c r="C811" s="102" t="s">
        <v>1064</v>
      </c>
      <c r="D811" s="103"/>
      <c r="E811" s="103"/>
      <c r="F811" s="104">
        <f>D811-E811</f>
        <v>0</v>
      </c>
    </row>
    <row r="812" spans="1:6" s="55" customFormat="1" ht="39" hidden="1" x14ac:dyDescent="0.3">
      <c r="A812" s="98" t="s">
        <v>1065</v>
      </c>
      <c r="B812" s="92" t="s">
        <v>386</v>
      </c>
      <c r="C812" s="99" t="s">
        <v>1066</v>
      </c>
      <c r="D812" s="94">
        <f>D813+D817</f>
        <v>0</v>
      </c>
      <c r="E812" s="94">
        <f>E813+E817</f>
        <v>0</v>
      </c>
      <c r="F812" s="95">
        <f t="shared" si="83"/>
        <v>0</v>
      </c>
    </row>
    <row r="813" spans="1:6" s="55" customFormat="1" ht="46" hidden="1" x14ac:dyDescent="0.3">
      <c r="A813" s="100" t="s">
        <v>1067</v>
      </c>
      <c r="B813" s="92" t="s">
        <v>386</v>
      </c>
      <c r="C813" s="99" t="s">
        <v>1068</v>
      </c>
      <c r="D813" s="94">
        <f t="shared" ref="D813:E815" si="93">D814</f>
        <v>0</v>
      </c>
      <c r="E813" s="94">
        <f t="shared" si="93"/>
        <v>0</v>
      </c>
      <c r="F813" s="95">
        <f>D813-E813</f>
        <v>0</v>
      </c>
    </row>
    <row r="814" spans="1:6" s="55" customFormat="1" ht="13" hidden="1" x14ac:dyDescent="0.3">
      <c r="A814" s="101" t="s">
        <v>496</v>
      </c>
      <c r="B814" s="105" t="s">
        <v>386</v>
      </c>
      <c r="C814" s="102" t="s">
        <v>1069</v>
      </c>
      <c r="D814" s="103">
        <f t="shared" si="93"/>
        <v>0</v>
      </c>
      <c r="E814" s="103">
        <f t="shared" si="93"/>
        <v>0</v>
      </c>
      <c r="F814" s="104">
        <f>D814-E814</f>
        <v>0</v>
      </c>
    </row>
    <row r="815" spans="1:6" s="55" customFormat="1" ht="46" hidden="1" x14ac:dyDescent="0.3">
      <c r="A815" s="101" t="s">
        <v>991</v>
      </c>
      <c r="B815" s="105" t="s">
        <v>386</v>
      </c>
      <c r="C815" s="102" t="s">
        <v>1070</v>
      </c>
      <c r="D815" s="103">
        <f t="shared" si="93"/>
        <v>0</v>
      </c>
      <c r="E815" s="103">
        <f t="shared" si="93"/>
        <v>0</v>
      </c>
      <c r="F815" s="104">
        <f>D815-E815</f>
        <v>0</v>
      </c>
    </row>
    <row r="816" spans="1:6" s="55" customFormat="1" ht="48" hidden="1" customHeight="1" x14ac:dyDescent="0.3">
      <c r="A816" s="101" t="s">
        <v>993</v>
      </c>
      <c r="B816" s="105" t="s">
        <v>386</v>
      </c>
      <c r="C816" s="102" t="s">
        <v>1071</v>
      </c>
      <c r="D816" s="103">
        <f>400000-400000</f>
        <v>0</v>
      </c>
      <c r="E816" s="103"/>
      <c r="F816" s="104">
        <f>D816-E816</f>
        <v>0</v>
      </c>
    </row>
    <row r="817" spans="1:6" s="55" customFormat="1" ht="80.5" hidden="1" x14ac:dyDescent="0.3">
      <c r="A817" s="100" t="s">
        <v>1072</v>
      </c>
      <c r="B817" s="92" t="s">
        <v>386</v>
      </c>
      <c r="C817" s="99" t="s">
        <v>1073</v>
      </c>
      <c r="D817" s="94">
        <f t="shared" ref="D817:E819" si="94">D818</f>
        <v>0</v>
      </c>
      <c r="E817" s="94">
        <f t="shared" si="94"/>
        <v>0</v>
      </c>
      <c r="F817" s="95">
        <f t="shared" si="83"/>
        <v>0</v>
      </c>
    </row>
    <row r="818" spans="1:6" hidden="1" x14ac:dyDescent="0.25">
      <c r="A818" s="101" t="s">
        <v>496</v>
      </c>
      <c r="B818" s="105" t="s">
        <v>386</v>
      </c>
      <c r="C818" s="102" t="s">
        <v>1074</v>
      </c>
      <c r="D818" s="103">
        <f t="shared" si="94"/>
        <v>0</v>
      </c>
      <c r="E818" s="103">
        <f t="shared" si="94"/>
        <v>0</v>
      </c>
      <c r="F818" s="104">
        <f>D818-E818</f>
        <v>0</v>
      </c>
    </row>
    <row r="819" spans="1:6" ht="46" hidden="1" x14ac:dyDescent="0.25">
      <c r="A819" s="101" t="s">
        <v>991</v>
      </c>
      <c r="B819" s="105" t="s">
        <v>386</v>
      </c>
      <c r="C819" s="102" t="s">
        <v>1075</v>
      </c>
      <c r="D819" s="103">
        <f t="shared" si="94"/>
        <v>0</v>
      </c>
      <c r="E819" s="103">
        <f t="shared" si="94"/>
        <v>0</v>
      </c>
      <c r="F819" s="104">
        <f>D819-E819</f>
        <v>0</v>
      </c>
    </row>
    <row r="820" spans="1:6" ht="48" hidden="1" customHeight="1" x14ac:dyDescent="0.25">
      <c r="A820" s="101" t="s">
        <v>993</v>
      </c>
      <c r="B820" s="105" t="s">
        <v>386</v>
      </c>
      <c r="C820" s="102" t="s">
        <v>1076</v>
      </c>
      <c r="D820" s="103">
        <f>100000-100000</f>
        <v>0</v>
      </c>
      <c r="E820" s="103"/>
      <c r="F820" s="104">
        <f>D820-E820</f>
        <v>0</v>
      </c>
    </row>
    <row r="821" spans="1:6" ht="34.5" x14ac:dyDescent="0.3">
      <c r="A821" s="100" t="s">
        <v>1077</v>
      </c>
      <c r="B821" s="92" t="s">
        <v>386</v>
      </c>
      <c r="C821" s="99" t="s">
        <v>1078</v>
      </c>
      <c r="D821" s="94">
        <f>D822+D826</f>
        <v>27868393</v>
      </c>
      <c r="E821" s="94">
        <f>E822+E826</f>
        <v>8908843.25</v>
      </c>
      <c r="F821" s="95">
        <f t="shared" si="83"/>
        <v>18959549.75</v>
      </c>
    </row>
    <row r="822" spans="1:6" ht="47.5" customHeight="1" x14ac:dyDescent="0.3">
      <c r="A822" s="100" t="s">
        <v>1079</v>
      </c>
      <c r="B822" s="92" t="s">
        <v>386</v>
      </c>
      <c r="C822" s="99" t="s">
        <v>1080</v>
      </c>
      <c r="D822" s="94">
        <f t="shared" ref="D822:E824" si="95">D823</f>
        <v>2125223</v>
      </c>
      <c r="E822" s="94">
        <f t="shared" si="95"/>
        <v>928443.25</v>
      </c>
      <c r="F822" s="95">
        <f t="shared" si="83"/>
        <v>1196779.75</v>
      </c>
    </row>
    <row r="823" spans="1:6" ht="23" x14ac:dyDescent="0.25">
      <c r="A823" s="132" t="s">
        <v>488</v>
      </c>
      <c r="B823" s="105" t="s">
        <v>386</v>
      </c>
      <c r="C823" s="102" t="s">
        <v>1081</v>
      </c>
      <c r="D823" s="103">
        <f t="shared" si="95"/>
        <v>2125223</v>
      </c>
      <c r="E823" s="103">
        <f t="shared" si="95"/>
        <v>928443.25</v>
      </c>
      <c r="F823" s="104">
        <f t="shared" si="83"/>
        <v>1196779.75</v>
      </c>
    </row>
    <row r="824" spans="1:6" ht="34.5" x14ac:dyDescent="0.25">
      <c r="A824" s="101" t="s">
        <v>394</v>
      </c>
      <c r="B824" s="105" t="s">
        <v>386</v>
      </c>
      <c r="C824" s="102" t="s">
        <v>1082</v>
      </c>
      <c r="D824" s="103">
        <f t="shared" si="95"/>
        <v>2125223</v>
      </c>
      <c r="E824" s="103">
        <f t="shared" si="95"/>
        <v>928443.25</v>
      </c>
      <c r="F824" s="104">
        <f t="shared" si="83"/>
        <v>1196779.75</v>
      </c>
    </row>
    <row r="825" spans="1:6" x14ac:dyDescent="0.25">
      <c r="A825" s="101" t="s">
        <v>396</v>
      </c>
      <c r="B825" s="105" t="s">
        <v>386</v>
      </c>
      <c r="C825" s="102" t="s">
        <v>1083</v>
      </c>
      <c r="D825" s="103">
        <v>2125223</v>
      </c>
      <c r="E825" s="103">
        <v>928443.25</v>
      </c>
      <c r="F825" s="104">
        <f t="shared" si="83"/>
        <v>1196779.75</v>
      </c>
    </row>
    <row r="826" spans="1:6" ht="71.5" customHeight="1" x14ac:dyDescent="0.3">
      <c r="A826" s="100" t="s">
        <v>1084</v>
      </c>
      <c r="B826" s="92" t="s">
        <v>386</v>
      </c>
      <c r="C826" s="99" t="s">
        <v>1085</v>
      </c>
      <c r="D826" s="94">
        <f t="shared" ref="D826:E828" si="96">D827</f>
        <v>25743170</v>
      </c>
      <c r="E826" s="94">
        <f t="shared" si="96"/>
        <v>7980400</v>
      </c>
      <c r="F826" s="95">
        <f>D826-E826</f>
        <v>17762770</v>
      </c>
    </row>
    <row r="827" spans="1:6" ht="34.5" x14ac:dyDescent="0.25">
      <c r="A827" s="101" t="s">
        <v>922</v>
      </c>
      <c r="B827" s="105" t="s">
        <v>386</v>
      </c>
      <c r="C827" s="102" t="s">
        <v>1086</v>
      </c>
      <c r="D827" s="103">
        <f t="shared" si="96"/>
        <v>25743170</v>
      </c>
      <c r="E827" s="103">
        <f t="shared" si="96"/>
        <v>7980400</v>
      </c>
      <c r="F827" s="104">
        <f>D827-E827</f>
        <v>17762770</v>
      </c>
    </row>
    <row r="828" spans="1:6" ht="34.5" x14ac:dyDescent="0.25">
      <c r="A828" s="132" t="s">
        <v>394</v>
      </c>
      <c r="B828" s="105" t="s">
        <v>386</v>
      </c>
      <c r="C828" s="102" t="s">
        <v>1087</v>
      </c>
      <c r="D828" s="103">
        <f t="shared" si="96"/>
        <v>25743170</v>
      </c>
      <c r="E828" s="103">
        <f t="shared" si="96"/>
        <v>7980400</v>
      </c>
      <c r="F828" s="104">
        <f>D828-E828</f>
        <v>17762770</v>
      </c>
    </row>
    <row r="829" spans="1:6" x14ac:dyDescent="0.25">
      <c r="A829" s="101" t="s">
        <v>396</v>
      </c>
      <c r="B829" s="105" t="s">
        <v>386</v>
      </c>
      <c r="C829" s="102" t="s">
        <v>1088</v>
      </c>
      <c r="D829" s="103">
        <f>D834+D838</f>
        <v>25743170</v>
      </c>
      <c r="E829" s="103">
        <f>E834+E838</f>
        <v>7980400</v>
      </c>
      <c r="F829" s="104">
        <f>D829-E829</f>
        <v>17762770</v>
      </c>
    </row>
    <row r="830" spans="1:6" ht="13" x14ac:dyDescent="0.25">
      <c r="A830" s="98" t="s">
        <v>121</v>
      </c>
      <c r="B830" s="105"/>
      <c r="C830" s="131"/>
      <c r="D830" s="103"/>
      <c r="E830" s="103"/>
      <c r="F830" s="104"/>
    </row>
    <row r="831" spans="1:6" ht="13.5" x14ac:dyDescent="0.3">
      <c r="A831" s="108" t="s">
        <v>410</v>
      </c>
      <c r="B831" s="92" t="s">
        <v>386</v>
      </c>
      <c r="C831" s="99" t="s">
        <v>1085</v>
      </c>
      <c r="D831" s="94">
        <f t="shared" ref="D831:E833" si="97">D832</f>
        <v>7980400</v>
      </c>
      <c r="E831" s="94">
        <f t="shared" si="97"/>
        <v>7980400</v>
      </c>
      <c r="F831" s="95">
        <f t="shared" ref="F831:F838" si="98">D831-E831</f>
        <v>0</v>
      </c>
    </row>
    <row r="832" spans="1:6" ht="34.5" x14ac:dyDescent="0.25">
      <c r="A832" s="101" t="s">
        <v>922</v>
      </c>
      <c r="B832" s="105" t="s">
        <v>386</v>
      </c>
      <c r="C832" s="102" t="s">
        <v>1086</v>
      </c>
      <c r="D832" s="103">
        <f t="shared" si="97"/>
        <v>7980400</v>
      </c>
      <c r="E832" s="103">
        <f t="shared" si="97"/>
        <v>7980400</v>
      </c>
      <c r="F832" s="104">
        <f t="shared" si="98"/>
        <v>0</v>
      </c>
    </row>
    <row r="833" spans="1:6" ht="34.5" x14ac:dyDescent="0.25">
      <c r="A833" s="132" t="s">
        <v>394</v>
      </c>
      <c r="B833" s="105" t="s">
        <v>386</v>
      </c>
      <c r="C833" s="102" t="s">
        <v>1087</v>
      </c>
      <c r="D833" s="103">
        <f t="shared" si="97"/>
        <v>7980400</v>
      </c>
      <c r="E833" s="103">
        <f t="shared" si="97"/>
        <v>7980400</v>
      </c>
      <c r="F833" s="104">
        <f t="shared" si="98"/>
        <v>0</v>
      </c>
    </row>
    <row r="834" spans="1:6" x14ac:dyDescent="0.25">
      <c r="A834" s="101" t="s">
        <v>396</v>
      </c>
      <c r="B834" s="105" t="s">
        <v>386</v>
      </c>
      <c r="C834" s="102" t="s">
        <v>1088</v>
      </c>
      <c r="D834" s="103">
        <v>7980400</v>
      </c>
      <c r="E834" s="103">
        <v>7980400</v>
      </c>
      <c r="F834" s="104">
        <f t="shared" si="98"/>
        <v>0</v>
      </c>
    </row>
    <row r="835" spans="1:6" ht="13.5" x14ac:dyDescent="0.3">
      <c r="A835" s="108" t="s">
        <v>411</v>
      </c>
      <c r="B835" s="92" t="s">
        <v>386</v>
      </c>
      <c r="C835" s="99" t="s">
        <v>1085</v>
      </c>
      <c r="D835" s="94">
        <f t="shared" ref="D835:E837" si="99">D836</f>
        <v>17762770</v>
      </c>
      <c r="E835" s="94">
        <f t="shared" si="99"/>
        <v>0</v>
      </c>
      <c r="F835" s="95">
        <f t="shared" si="98"/>
        <v>17762770</v>
      </c>
    </row>
    <row r="836" spans="1:6" ht="34.5" x14ac:dyDescent="0.25">
      <c r="A836" s="101" t="s">
        <v>922</v>
      </c>
      <c r="B836" s="105" t="s">
        <v>386</v>
      </c>
      <c r="C836" s="102" t="s">
        <v>1086</v>
      </c>
      <c r="D836" s="103">
        <f t="shared" si="99"/>
        <v>17762770</v>
      </c>
      <c r="E836" s="103">
        <f t="shared" si="99"/>
        <v>0</v>
      </c>
      <c r="F836" s="104">
        <f t="shared" si="98"/>
        <v>17762770</v>
      </c>
    </row>
    <row r="837" spans="1:6" ht="34.5" x14ac:dyDescent="0.25">
      <c r="A837" s="132" t="s">
        <v>394</v>
      </c>
      <c r="B837" s="105" t="s">
        <v>386</v>
      </c>
      <c r="C837" s="102" t="s">
        <v>1087</v>
      </c>
      <c r="D837" s="103">
        <f t="shared" si="99"/>
        <v>17762770</v>
      </c>
      <c r="E837" s="103">
        <f t="shared" si="99"/>
        <v>0</v>
      </c>
      <c r="F837" s="104">
        <f t="shared" si="98"/>
        <v>17762770</v>
      </c>
    </row>
    <row r="838" spans="1:6" x14ac:dyDescent="0.25">
      <c r="A838" s="101" t="s">
        <v>396</v>
      </c>
      <c r="B838" s="105" t="s">
        <v>386</v>
      </c>
      <c r="C838" s="102" t="s">
        <v>1088</v>
      </c>
      <c r="D838" s="103">
        <v>17762770</v>
      </c>
      <c r="E838" s="103"/>
      <c r="F838" s="104">
        <f t="shared" si="98"/>
        <v>17762770</v>
      </c>
    </row>
    <row r="839" spans="1:6" ht="52" hidden="1" x14ac:dyDescent="0.3">
      <c r="A839" s="98" t="s">
        <v>1089</v>
      </c>
      <c r="B839" s="92" t="s">
        <v>386</v>
      </c>
      <c r="C839" s="99" t="s">
        <v>1090</v>
      </c>
      <c r="D839" s="94">
        <f t="shared" ref="D839:E842" si="100">D840</f>
        <v>0</v>
      </c>
      <c r="E839" s="94">
        <f t="shared" si="100"/>
        <v>0</v>
      </c>
      <c r="F839" s="95">
        <f>D839-E839</f>
        <v>0</v>
      </c>
    </row>
    <row r="840" spans="1:6" ht="126.5" hidden="1" x14ac:dyDescent="0.3">
      <c r="A840" s="100" t="s">
        <v>1091</v>
      </c>
      <c r="B840" s="92" t="s">
        <v>386</v>
      </c>
      <c r="C840" s="99" t="s">
        <v>1092</v>
      </c>
      <c r="D840" s="94">
        <f t="shared" si="100"/>
        <v>0</v>
      </c>
      <c r="E840" s="94">
        <f t="shared" si="100"/>
        <v>0</v>
      </c>
      <c r="F840" s="95">
        <f>D840-E840</f>
        <v>0</v>
      </c>
    </row>
    <row r="841" spans="1:6" ht="23" hidden="1" x14ac:dyDescent="0.25">
      <c r="A841" s="132" t="s">
        <v>488</v>
      </c>
      <c r="B841" s="105" t="s">
        <v>386</v>
      </c>
      <c r="C841" s="102" t="s">
        <v>1093</v>
      </c>
      <c r="D841" s="103">
        <f t="shared" si="100"/>
        <v>0</v>
      </c>
      <c r="E841" s="103">
        <f t="shared" si="100"/>
        <v>0</v>
      </c>
      <c r="F841" s="104">
        <f>D841-E841</f>
        <v>0</v>
      </c>
    </row>
    <row r="842" spans="1:6" ht="34.5" hidden="1" x14ac:dyDescent="0.25">
      <c r="A842" s="101" t="s">
        <v>394</v>
      </c>
      <c r="B842" s="105" t="s">
        <v>386</v>
      </c>
      <c r="C842" s="102" t="s">
        <v>1094</v>
      </c>
      <c r="D842" s="103">
        <f t="shared" si="100"/>
        <v>0</v>
      </c>
      <c r="E842" s="103">
        <f t="shared" si="100"/>
        <v>0</v>
      </c>
      <c r="F842" s="104">
        <f>D842-E842</f>
        <v>0</v>
      </c>
    </row>
    <row r="843" spans="1:6" hidden="1" x14ac:dyDescent="0.25">
      <c r="A843" s="101" t="s">
        <v>396</v>
      </c>
      <c r="B843" s="105" t="s">
        <v>386</v>
      </c>
      <c r="C843" s="102" t="s">
        <v>1095</v>
      </c>
      <c r="D843" s="103"/>
      <c r="E843" s="103"/>
      <c r="F843" s="104">
        <f>D843-E843</f>
        <v>0</v>
      </c>
    </row>
    <row r="844" spans="1:6" s="55" customFormat="1" ht="26" x14ac:dyDescent="0.3">
      <c r="A844" s="98" t="s">
        <v>1096</v>
      </c>
      <c r="B844" s="119" t="s">
        <v>386</v>
      </c>
      <c r="C844" s="99" t="s">
        <v>1097</v>
      </c>
      <c r="D844" s="94">
        <f>D845+D853+D849</f>
        <v>300000</v>
      </c>
      <c r="E844" s="94">
        <f>E845+E853+E849</f>
        <v>292274</v>
      </c>
      <c r="F844" s="95">
        <f t="shared" si="83"/>
        <v>7726</v>
      </c>
    </row>
    <row r="845" spans="1:6" s="55" customFormat="1" ht="78" x14ac:dyDescent="0.3">
      <c r="A845" s="98" t="s">
        <v>1098</v>
      </c>
      <c r="B845" s="92" t="s">
        <v>386</v>
      </c>
      <c r="C845" s="99" t="s">
        <v>1099</v>
      </c>
      <c r="D845" s="94">
        <f>D846</f>
        <v>300000</v>
      </c>
      <c r="E845" s="94">
        <f>E846</f>
        <v>292274</v>
      </c>
      <c r="F845" s="95">
        <f t="shared" si="83"/>
        <v>7726</v>
      </c>
    </row>
    <row r="846" spans="1:6" s="55" customFormat="1" ht="13" x14ac:dyDescent="0.3">
      <c r="A846" s="101" t="s">
        <v>496</v>
      </c>
      <c r="B846" s="105" t="s">
        <v>386</v>
      </c>
      <c r="C846" s="102" t="s">
        <v>1100</v>
      </c>
      <c r="D846" s="103">
        <f>D847</f>
        <v>300000</v>
      </c>
      <c r="E846" s="103">
        <f>E847</f>
        <v>292274</v>
      </c>
      <c r="F846" s="104">
        <f t="shared" si="83"/>
        <v>7726</v>
      </c>
    </row>
    <row r="847" spans="1:6" s="55" customFormat="1" ht="46" x14ac:dyDescent="0.3">
      <c r="A847" s="101" t="s">
        <v>991</v>
      </c>
      <c r="B847" s="105" t="s">
        <v>386</v>
      </c>
      <c r="C847" s="102" t="s">
        <v>1101</v>
      </c>
      <c r="D847" s="103">
        <f>SUM(D848:D848)</f>
        <v>300000</v>
      </c>
      <c r="E847" s="103">
        <f>SUM(E848:E848)</f>
        <v>292274</v>
      </c>
      <c r="F847" s="104">
        <f t="shared" si="83"/>
        <v>7726</v>
      </c>
    </row>
    <row r="848" spans="1:6" s="55" customFormat="1" ht="57.5" x14ac:dyDescent="0.3">
      <c r="A848" s="101" t="s">
        <v>1102</v>
      </c>
      <c r="B848" s="105" t="s">
        <v>386</v>
      </c>
      <c r="C848" s="102" t="s">
        <v>1103</v>
      </c>
      <c r="D848" s="103">
        <v>300000</v>
      </c>
      <c r="E848" s="103">
        <v>292274</v>
      </c>
      <c r="F848" s="104">
        <f t="shared" si="83"/>
        <v>7726</v>
      </c>
    </row>
    <row r="849" spans="1:6" ht="23" hidden="1" x14ac:dyDescent="0.3">
      <c r="A849" s="100" t="s">
        <v>683</v>
      </c>
      <c r="B849" s="105" t="s">
        <v>386</v>
      </c>
      <c r="C849" s="99" t="s">
        <v>1104</v>
      </c>
      <c r="D849" s="94">
        <f t="shared" ref="D849:E851" si="101">D850</f>
        <v>0</v>
      </c>
      <c r="E849" s="94">
        <f t="shared" si="101"/>
        <v>0</v>
      </c>
      <c r="F849" s="95">
        <f t="shared" ref="F849:F1000" si="102">D849-E849</f>
        <v>0</v>
      </c>
    </row>
    <row r="850" spans="1:6" ht="23" hidden="1" x14ac:dyDescent="0.25">
      <c r="A850" s="101" t="s">
        <v>488</v>
      </c>
      <c r="B850" s="105" t="s">
        <v>386</v>
      </c>
      <c r="C850" s="102" t="s">
        <v>1105</v>
      </c>
      <c r="D850" s="103">
        <f t="shared" si="101"/>
        <v>0</v>
      </c>
      <c r="E850" s="103">
        <f t="shared" si="101"/>
        <v>0</v>
      </c>
      <c r="F850" s="104">
        <f t="shared" si="102"/>
        <v>0</v>
      </c>
    </row>
    <row r="851" spans="1:6" ht="34.5" hidden="1" x14ac:dyDescent="0.25">
      <c r="A851" s="101" t="s">
        <v>394</v>
      </c>
      <c r="B851" s="105" t="s">
        <v>386</v>
      </c>
      <c r="C851" s="102" t="s">
        <v>1106</v>
      </c>
      <c r="D851" s="103">
        <f t="shared" si="101"/>
        <v>0</v>
      </c>
      <c r="E851" s="103">
        <f t="shared" si="101"/>
        <v>0</v>
      </c>
      <c r="F851" s="104">
        <f t="shared" si="102"/>
        <v>0</v>
      </c>
    </row>
    <row r="852" spans="1:6" hidden="1" x14ac:dyDescent="0.25">
      <c r="A852" s="101" t="s">
        <v>396</v>
      </c>
      <c r="B852" s="105" t="s">
        <v>386</v>
      </c>
      <c r="C852" s="102" t="s">
        <v>1107</v>
      </c>
      <c r="D852" s="103"/>
      <c r="E852" s="103"/>
      <c r="F852" s="104">
        <f t="shared" si="102"/>
        <v>0</v>
      </c>
    </row>
    <row r="853" spans="1:6" ht="34.5" hidden="1" x14ac:dyDescent="0.3">
      <c r="A853" s="100" t="s">
        <v>690</v>
      </c>
      <c r="B853" s="105" t="s">
        <v>386</v>
      </c>
      <c r="C853" s="99" t="s">
        <v>1108</v>
      </c>
      <c r="D853" s="94">
        <f t="shared" ref="D853:E855" si="103">D854</f>
        <v>0</v>
      </c>
      <c r="E853" s="94">
        <f t="shared" si="103"/>
        <v>0</v>
      </c>
      <c r="F853" s="95">
        <f t="shared" si="102"/>
        <v>0</v>
      </c>
    </row>
    <row r="854" spans="1:6" ht="23" hidden="1" x14ac:dyDescent="0.25">
      <c r="A854" s="101" t="s">
        <v>488</v>
      </c>
      <c r="B854" s="105" t="s">
        <v>386</v>
      </c>
      <c r="C854" s="102" t="s">
        <v>1109</v>
      </c>
      <c r="D854" s="103">
        <f t="shared" si="103"/>
        <v>0</v>
      </c>
      <c r="E854" s="103">
        <f t="shared" si="103"/>
        <v>0</v>
      </c>
      <c r="F854" s="104">
        <f t="shared" si="102"/>
        <v>0</v>
      </c>
    </row>
    <row r="855" spans="1:6" ht="34.5" hidden="1" x14ac:dyDescent="0.25">
      <c r="A855" s="101" t="s">
        <v>394</v>
      </c>
      <c r="B855" s="105" t="s">
        <v>386</v>
      </c>
      <c r="C855" s="102" t="s">
        <v>1110</v>
      </c>
      <c r="D855" s="103">
        <f t="shared" si="103"/>
        <v>0</v>
      </c>
      <c r="E855" s="103">
        <f t="shared" si="103"/>
        <v>0</v>
      </c>
      <c r="F855" s="104">
        <f t="shared" si="102"/>
        <v>0</v>
      </c>
    </row>
    <row r="856" spans="1:6" hidden="1" x14ac:dyDescent="0.25">
      <c r="A856" s="101" t="s">
        <v>396</v>
      </c>
      <c r="B856" s="105" t="s">
        <v>386</v>
      </c>
      <c r="C856" s="102" t="s">
        <v>1111</v>
      </c>
      <c r="D856" s="103"/>
      <c r="E856" s="103"/>
      <c r="F856" s="104">
        <f t="shared" si="102"/>
        <v>0</v>
      </c>
    </row>
    <row r="857" spans="1:6" ht="13" x14ac:dyDescent="0.3">
      <c r="A857" s="98" t="s">
        <v>1112</v>
      </c>
      <c r="B857" s="92" t="s">
        <v>386</v>
      </c>
      <c r="C857" s="118" t="s">
        <v>1113</v>
      </c>
      <c r="D857" s="94">
        <f>D858+D867+D888+D893+D953+D967</f>
        <v>252358159.07000002</v>
      </c>
      <c r="E857" s="94">
        <f>E858+E867+E888+E893+E953+E967</f>
        <v>210819090.36999997</v>
      </c>
      <c r="F857" s="95">
        <f t="shared" si="102"/>
        <v>41539068.700000048</v>
      </c>
    </row>
    <row r="858" spans="1:6" ht="26" x14ac:dyDescent="0.3">
      <c r="A858" s="98" t="s">
        <v>1114</v>
      </c>
      <c r="B858" s="92" t="s">
        <v>386</v>
      </c>
      <c r="C858" s="99" t="s">
        <v>1115</v>
      </c>
      <c r="D858" s="94">
        <f>D859+D863</f>
        <v>2833564</v>
      </c>
      <c r="E858" s="94">
        <f>E859+E863</f>
        <v>2329083.5599999996</v>
      </c>
      <c r="F858" s="95">
        <f t="shared" si="102"/>
        <v>504480.44000000041</v>
      </c>
    </row>
    <row r="859" spans="1:6" ht="51.5" customHeight="1" x14ac:dyDescent="0.3">
      <c r="A859" s="100" t="s">
        <v>1116</v>
      </c>
      <c r="B859" s="92" t="s">
        <v>386</v>
      </c>
      <c r="C859" s="99" t="s">
        <v>1117</v>
      </c>
      <c r="D859" s="94">
        <f t="shared" ref="D859:E861" si="104">D860</f>
        <v>262879</v>
      </c>
      <c r="E859" s="94">
        <f t="shared" si="104"/>
        <v>183749.8</v>
      </c>
      <c r="F859" s="95">
        <f t="shared" si="102"/>
        <v>79129.200000000012</v>
      </c>
    </row>
    <row r="860" spans="1:6" ht="23" x14ac:dyDescent="0.25">
      <c r="A860" s="101" t="s">
        <v>488</v>
      </c>
      <c r="B860" s="105" t="s">
        <v>386</v>
      </c>
      <c r="C860" s="102" t="s">
        <v>1118</v>
      </c>
      <c r="D860" s="103">
        <f t="shared" si="104"/>
        <v>262879</v>
      </c>
      <c r="E860" s="103">
        <f t="shared" si="104"/>
        <v>183749.8</v>
      </c>
      <c r="F860" s="104">
        <f t="shared" si="102"/>
        <v>79129.200000000012</v>
      </c>
    </row>
    <row r="861" spans="1:6" ht="34.5" x14ac:dyDescent="0.25">
      <c r="A861" s="101" t="s">
        <v>394</v>
      </c>
      <c r="B861" s="105" t="s">
        <v>386</v>
      </c>
      <c r="C861" s="102" t="s">
        <v>1119</v>
      </c>
      <c r="D861" s="103">
        <f t="shared" si="104"/>
        <v>262879</v>
      </c>
      <c r="E861" s="103">
        <f t="shared" si="104"/>
        <v>183749.8</v>
      </c>
      <c r="F861" s="104">
        <f t="shared" si="102"/>
        <v>79129.200000000012</v>
      </c>
    </row>
    <row r="862" spans="1:6" s="55" customFormat="1" ht="13" x14ac:dyDescent="0.3">
      <c r="A862" s="101" t="s">
        <v>396</v>
      </c>
      <c r="B862" s="105" t="s">
        <v>386</v>
      </c>
      <c r="C862" s="102" t="s">
        <v>1120</v>
      </c>
      <c r="D862" s="103">
        <v>262879</v>
      </c>
      <c r="E862" s="103">
        <v>183749.8</v>
      </c>
      <c r="F862" s="104">
        <f t="shared" si="102"/>
        <v>79129.200000000012</v>
      </c>
    </row>
    <row r="863" spans="1:6" ht="46" x14ac:dyDescent="0.3">
      <c r="A863" s="100" t="s">
        <v>1121</v>
      </c>
      <c r="B863" s="92" t="s">
        <v>386</v>
      </c>
      <c r="C863" s="99" t="s">
        <v>1122</v>
      </c>
      <c r="D863" s="94">
        <f t="shared" ref="D863:E865" si="105">D864</f>
        <v>2570685</v>
      </c>
      <c r="E863" s="94">
        <f t="shared" si="105"/>
        <v>2145333.7599999998</v>
      </c>
      <c r="F863" s="95">
        <f t="shared" si="102"/>
        <v>425351.24000000022</v>
      </c>
    </row>
    <row r="864" spans="1:6" ht="23" x14ac:dyDescent="0.25">
      <c r="A864" s="132" t="s">
        <v>488</v>
      </c>
      <c r="B864" s="105" t="s">
        <v>386</v>
      </c>
      <c r="C864" s="102" t="s">
        <v>1123</v>
      </c>
      <c r="D864" s="103">
        <f t="shared" si="105"/>
        <v>2570685</v>
      </c>
      <c r="E864" s="103">
        <f t="shared" si="105"/>
        <v>2145333.7599999998</v>
      </c>
      <c r="F864" s="104">
        <f t="shared" si="102"/>
        <v>425351.24000000022</v>
      </c>
    </row>
    <row r="865" spans="1:6" s="55" customFormat="1" ht="34.5" x14ac:dyDescent="0.3">
      <c r="A865" s="101" t="s">
        <v>394</v>
      </c>
      <c r="B865" s="105" t="s">
        <v>386</v>
      </c>
      <c r="C865" s="102" t="s">
        <v>1124</v>
      </c>
      <c r="D865" s="103">
        <f t="shared" si="105"/>
        <v>2570685</v>
      </c>
      <c r="E865" s="103">
        <f t="shared" si="105"/>
        <v>2145333.7599999998</v>
      </c>
      <c r="F865" s="104">
        <f t="shared" si="102"/>
        <v>425351.24000000022</v>
      </c>
    </row>
    <row r="866" spans="1:6" s="55" customFormat="1" ht="13" x14ac:dyDescent="0.3">
      <c r="A866" s="101" t="s">
        <v>494</v>
      </c>
      <c r="B866" s="105" t="s">
        <v>386</v>
      </c>
      <c r="C866" s="102" t="s">
        <v>1125</v>
      </c>
      <c r="D866" s="103">
        <v>2570685</v>
      </c>
      <c r="E866" s="103">
        <v>2145333.7599999998</v>
      </c>
      <c r="F866" s="104">
        <f t="shared" si="102"/>
        <v>425351.24000000022</v>
      </c>
    </row>
    <row r="867" spans="1:6" s="55" customFormat="1" ht="39" x14ac:dyDescent="0.3">
      <c r="A867" s="98" t="s">
        <v>1126</v>
      </c>
      <c r="B867" s="92" t="s">
        <v>386</v>
      </c>
      <c r="C867" s="99" t="s">
        <v>1127</v>
      </c>
      <c r="D867" s="94">
        <f>D868+D872+D876+D880+D884</f>
        <v>8568216</v>
      </c>
      <c r="E867" s="94">
        <f>E868+E872+E876+E880+E884</f>
        <v>4126041.0799999996</v>
      </c>
      <c r="F867" s="95">
        <f t="shared" si="102"/>
        <v>4442174.92</v>
      </c>
    </row>
    <row r="868" spans="1:6" ht="48" customHeight="1" x14ac:dyDescent="0.3">
      <c r="A868" s="100" t="s">
        <v>1128</v>
      </c>
      <c r="B868" s="92" t="s">
        <v>386</v>
      </c>
      <c r="C868" s="99" t="s">
        <v>1129</v>
      </c>
      <c r="D868" s="94">
        <f t="shared" ref="D868:E870" si="106">D869</f>
        <v>4540000</v>
      </c>
      <c r="E868" s="94">
        <f t="shared" si="106"/>
        <v>1934726.89</v>
      </c>
      <c r="F868" s="95">
        <f t="shared" si="102"/>
        <v>2605273.1100000003</v>
      </c>
    </row>
    <row r="869" spans="1:6" ht="23" x14ac:dyDescent="0.25">
      <c r="A869" s="101" t="s">
        <v>488</v>
      </c>
      <c r="B869" s="105" t="s">
        <v>386</v>
      </c>
      <c r="C869" s="102" t="s">
        <v>1130</v>
      </c>
      <c r="D869" s="103">
        <f t="shared" si="106"/>
        <v>4540000</v>
      </c>
      <c r="E869" s="103">
        <f t="shared" si="106"/>
        <v>1934726.89</v>
      </c>
      <c r="F869" s="104">
        <f t="shared" si="102"/>
        <v>2605273.1100000003</v>
      </c>
    </row>
    <row r="870" spans="1:6" ht="34.5" x14ac:dyDescent="0.25">
      <c r="A870" s="101" t="s">
        <v>394</v>
      </c>
      <c r="B870" s="105" t="s">
        <v>386</v>
      </c>
      <c r="C870" s="102" t="s">
        <v>1131</v>
      </c>
      <c r="D870" s="103">
        <f t="shared" si="106"/>
        <v>4540000</v>
      </c>
      <c r="E870" s="103">
        <f t="shared" si="106"/>
        <v>1934726.89</v>
      </c>
      <c r="F870" s="104">
        <f t="shared" si="102"/>
        <v>2605273.1100000003</v>
      </c>
    </row>
    <row r="871" spans="1:6" x14ac:dyDescent="0.25">
      <c r="A871" s="101" t="s">
        <v>396</v>
      </c>
      <c r="B871" s="105" t="s">
        <v>386</v>
      </c>
      <c r="C871" s="102" t="s">
        <v>1132</v>
      </c>
      <c r="D871" s="103">
        <v>4540000</v>
      </c>
      <c r="E871" s="103">
        <v>1934726.89</v>
      </c>
      <c r="F871" s="104">
        <f t="shared" si="102"/>
        <v>2605273.1100000003</v>
      </c>
    </row>
    <row r="872" spans="1:6" ht="48.5" customHeight="1" x14ac:dyDescent="0.3">
      <c r="A872" s="100" t="s">
        <v>1133</v>
      </c>
      <c r="B872" s="92" t="s">
        <v>386</v>
      </c>
      <c r="C872" s="99" t="s">
        <v>1134</v>
      </c>
      <c r="D872" s="94">
        <f t="shared" ref="D872:E874" si="107">D873</f>
        <v>300000</v>
      </c>
      <c r="E872" s="94">
        <f t="shared" si="107"/>
        <v>187500</v>
      </c>
      <c r="F872" s="95">
        <f t="shared" si="102"/>
        <v>112500</v>
      </c>
    </row>
    <row r="873" spans="1:6" s="55" customFormat="1" ht="23" x14ac:dyDescent="0.3">
      <c r="A873" s="101" t="s">
        <v>488</v>
      </c>
      <c r="B873" s="105" t="s">
        <v>386</v>
      </c>
      <c r="C873" s="102" t="s">
        <v>1135</v>
      </c>
      <c r="D873" s="103">
        <f t="shared" si="107"/>
        <v>300000</v>
      </c>
      <c r="E873" s="103">
        <f t="shared" si="107"/>
        <v>187500</v>
      </c>
      <c r="F873" s="104">
        <f>D873-E873</f>
        <v>112500</v>
      </c>
    </row>
    <row r="874" spans="1:6" ht="34.5" x14ac:dyDescent="0.25">
      <c r="A874" s="101" t="s">
        <v>394</v>
      </c>
      <c r="B874" s="105" t="s">
        <v>386</v>
      </c>
      <c r="C874" s="102" t="s">
        <v>1136</v>
      </c>
      <c r="D874" s="103">
        <f t="shared" si="107"/>
        <v>300000</v>
      </c>
      <c r="E874" s="103">
        <f t="shared" si="107"/>
        <v>187500</v>
      </c>
      <c r="F874" s="104">
        <f>D874-E874</f>
        <v>112500</v>
      </c>
    </row>
    <row r="875" spans="1:6" x14ac:dyDescent="0.25">
      <c r="A875" s="101" t="s">
        <v>396</v>
      </c>
      <c r="B875" s="105" t="s">
        <v>386</v>
      </c>
      <c r="C875" s="102" t="s">
        <v>1137</v>
      </c>
      <c r="D875" s="103">
        <v>300000</v>
      </c>
      <c r="E875" s="103">
        <v>187500</v>
      </c>
      <c r="F875" s="104">
        <f>D875-E875</f>
        <v>112500</v>
      </c>
    </row>
    <row r="876" spans="1:6" ht="57.5" x14ac:dyDescent="0.3">
      <c r="A876" s="100" t="s">
        <v>1138</v>
      </c>
      <c r="B876" s="92" t="s">
        <v>386</v>
      </c>
      <c r="C876" s="99" t="s">
        <v>1139</v>
      </c>
      <c r="D876" s="94">
        <f t="shared" ref="D876:E886" si="108">D877</f>
        <v>3628216</v>
      </c>
      <c r="E876" s="94">
        <f t="shared" si="108"/>
        <v>2003814.19</v>
      </c>
      <c r="F876" s="95">
        <f t="shared" si="102"/>
        <v>1624401.81</v>
      </c>
    </row>
    <row r="877" spans="1:6" ht="23" x14ac:dyDescent="0.25">
      <c r="A877" s="101" t="s">
        <v>488</v>
      </c>
      <c r="B877" s="105" t="s">
        <v>386</v>
      </c>
      <c r="C877" s="102" t="s">
        <v>1140</v>
      </c>
      <c r="D877" s="103">
        <f t="shared" si="108"/>
        <v>3628216</v>
      </c>
      <c r="E877" s="103">
        <f t="shared" si="108"/>
        <v>2003814.19</v>
      </c>
      <c r="F877" s="104">
        <f t="shared" si="102"/>
        <v>1624401.81</v>
      </c>
    </row>
    <row r="878" spans="1:6" ht="34.5" x14ac:dyDescent="0.25">
      <c r="A878" s="101" t="s">
        <v>394</v>
      </c>
      <c r="B878" s="105" t="s">
        <v>386</v>
      </c>
      <c r="C878" s="102" t="s">
        <v>1141</v>
      </c>
      <c r="D878" s="103">
        <f t="shared" si="108"/>
        <v>3628216</v>
      </c>
      <c r="E878" s="103">
        <f t="shared" si="108"/>
        <v>2003814.19</v>
      </c>
      <c r="F878" s="104">
        <f t="shared" si="102"/>
        <v>1624401.81</v>
      </c>
    </row>
    <row r="879" spans="1:6" x14ac:dyDescent="0.25">
      <c r="A879" s="101" t="s">
        <v>396</v>
      </c>
      <c r="B879" s="105" t="s">
        <v>386</v>
      </c>
      <c r="C879" s="102" t="s">
        <v>1142</v>
      </c>
      <c r="D879" s="103">
        <v>3628216</v>
      </c>
      <c r="E879" s="103">
        <v>2003814.19</v>
      </c>
      <c r="F879" s="104">
        <f t="shared" si="102"/>
        <v>1624401.81</v>
      </c>
    </row>
    <row r="880" spans="1:6" ht="46" hidden="1" x14ac:dyDescent="0.3">
      <c r="A880" s="100" t="s">
        <v>1143</v>
      </c>
      <c r="B880" s="92" t="s">
        <v>386</v>
      </c>
      <c r="C880" s="99" t="s">
        <v>1144</v>
      </c>
      <c r="D880" s="94">
        <f t="shared" si="108"/>
        <v>0</v>
      </c>
      <c r="E880" s="94">
        <f t="shared" si="108"/>
        <v>0</v>
      </c>
      <c r="F880" s="95">
        <f t="shared" si="102"/>
        <v>0</v>
      </c>
    </row>
    <row r="881" spans="1:6" ht="23" hidden="1" x14ac:dyDescent="0.25">
      <c r="A881" s="101" t="s">
        <v>488</v>
      </c>
      <c r="B881" s="105" t="s">
        <v>386</v>
      </c>
      <c r="C881" s="102" t="s">
        <v>1145</v>
      </c>
      <c r="D881" s="103">
        <f t="shared" si="108"/>
        <v>0</v>
      </c>
      <c r="E881" s="103">
        <f t="shared" si="108"/>
        <v>0</v>
      </c>
      <c r="F881" s="104">
        <f t="shared" si="102"/>
        <v>0</v>
      </c>
    </row>
    <row r="882" spans="1:6" ht="34.5" hidden="1" x14ac:dyDescent="0.25">
      <c r="A882" s="101" t="s">
        <v>394</v>
      </c>
      <c r="B882" s="105" t="s">
        <v>386</v>
      </c>
      <c r="C882" s="102" t="s">
        <v>1146</v>
      </c>
      <c r="D882" s="103">
        <f t="shared" si="108"/>
        <v>0</v>
      </c>
      <c r="E882" s="103">
        <f t="shared" si="108"/>
        <v>0</v>
      </c>
      <c r="F882" s="104">
        <f t="shared" si="102"/>
        <v>0</v>
      </c>
    </row>
    <row r="883" spans="1:6" hidden="1" x14ac:dyDescent="0.25">
      <c r="A883" s="101" t="s">
        <v>396</v>
      </c>
      <c r="B883" s="105" t="s">
        <v>386</v>
      </c>
      <c r="C883" s="102" t="s">
        <v>1147</v>
      </c>
      <c r="D883" s="103"/>
      <c r="E883" s="103"/>
      <c r="F883" s="104">
        <f t="shared" si="102"/>
        <v>0</v>
      </c>
    </row>
    <row r="884" spans="1:6" ht="63" customHeight="1" x14ac:dyDescent="0.3">
      <c r="A884" s="100" t="s">
        <v>1148</v>
      </c>
      <c r="B884" s="92" t="s">
        <v>386</v>
      </c>
      <c r="C884" s="99" t="s">
        <v>1149</v>
      </c>
      <c r="D884" s="94">
        <f t="shared" si="108"/>
        <v>100000</v>
      </c>
      <c r="E884" s="94">
        <f t="shared" si="108"/>
        <v>0</v>
      </c>
      <c r="F884" s="95">
        <f t="shared" si="102"/>
        <v>100000</v>
      </c>
    </row>
    <row r="885" spans="1:6" ht="23" x14ac:dyDescent="0.25">
      <c r="A885" s="101" t="s">
        <v>488</v>
      </c>
      <c r="B885" s="105" t="s">
        <v>386</v>
      </c>
      <c r="C885" s="102" t="s">
        <v>1150</v>
      </c>
      <c r="D885" s="103">
        <f t="shared" si="108"/>
        <v>100000</v>
      </c>
      <c r="E885" s="103">
        <f t="shared" si="108"/>
        <v>0</v>
      </c>
      <c r="F885" s="104">
        <f t="shared" si="102"/>
        <v>100000</v>
      </c>
    </row>
    <row r="886" spans="1:6" ht="34.5" x14ac:dyDescent="0.25">
      <c r="A886" s="101" t="s">
        <v>394</v>
      </c>
      <c r="B886" s="105" t="s">
        <v>386</v>
      </c>
      <c r="C886" s="102" t="s">
        <v>1151</v>
      </c>
      <c r="D886" s="103">
        <f t="shared" si="108"/>
        <v>100000</v>
      </c>
      <c r="E886" s="103">
        <f t="shared" si="108"/>
        <v>0</v>
      </c>
      <c r="F886" s="104">
        <f t="shared" si="102"/>
        <v>100000</v>
      </c>
    </row>
    <row r="887" spans="1:6" x14ac:dyDescent="0.25">
      <c r="A887" s="101" t="s">
        <v>396</v>
      </c>
      <c r="B887" s="105" t="s">
        <v>386</v>
      </c>
      <c r="C887" s="102" t="s">
        <v>1152</v>
      </c>
      <c r="D887" s="103">
        <v>100000</v>
      </c>
      <c r="E887" s="103"/>
      <c r="F887" s="104">
        <f t="shared" si="102"/>
        <v>100000</v>
      </c>
    </row>
    <row r="888" spans="1:6" ht="26" x14ac:dyDescent="0.3">
      <c r="A888" s="98" t="s">
        <v>1153</v>
      </c>
      <c r="B888" s="92" t="s">
        <v>386</v>
      </c>
      <c r="C888" s="99" t="s">
        <v>1154</v>
      </c>
      <c r="D888" s="94">
        <f t="shared" ref="D888:E891" si="109">D889</f>
        <v>494000</v>
      </c>
      <c r="E888" s="94">
        <f t="shared" si="109"/>
        <v>0</v>
      </c>
      <c r="F888" s="95">
        <f t="shared" si="102"/>
        <v>494000</v>
      </c>
    </row>
    <row r="889" spans="1:6" ht="60.5" customHeight="1" x14ac:dyDescent="0.3">
      <c r="A889" s="100" t="s">
        <v>1155</v>
      </c>
      <c r="B889" s="92" t="s">
        <v>386</v>
      </c>
      <c r="C889" s="99" t="s">
        <v>1156</v>
      </c>
      <c r="D889" s="94">
        <f t="shared" si="109"/>
        <v>494000</v>
      </c>
      <c r="E889" s="94">
        <f t="shared" si="109"/>
        <v>0</v>
      </c>
      <c r="F889" s="95">
        <f t="shared" si="102"/>
        <v>494000</v>
      </c>
    </row>
    <row r="890" spans="1:6" ht="23" x14ac:dyDescent="0.25">
      <c r="A890" s="101" t="s">
        <v>488</v>
      </c>
      <c r="B890" s="105" t="s">
        <v>386</v>
      </c>
      <c r="C890" s="102" t="s">
        <v>1157</v>
      </c>
      <c r="D890" s="103">
        <f t="shared" si="109"/>
        <v>494000</v>
      </c>
      <c r="E890" s="103">
        <f t="shared" si="109"/>
        <v>0</v>
      </c>
      <c r="F890" s="104">
        <f t="shared" si="102"/>
        <v>494000</v>
      </c>
    </row>
    <row r="891" spans="1:6" ht="34.5" x14ac:dyDescent="0.25">
      <c r="A891" s="101" t="s">
        <v>394</v>
      </c>
      <c r="B891" s="105" t="s">
        <v>386</v>
      </c>
      <c r="C891" s="102" t="s">
        <v>1158</v>
      </c>
      <c r="D891" s="103">
        <f t="shared" si="109"/>
        <v>494000</v>
      </c>
      <c r="E891" s="103">
        <f t="shared" si="109"/>
        <v>0</v>
      </c>
      <c r="F891" s="104">
        <f t="shared" si="102"/>
        <v>494000</v>
      </c>
    </row>
    <row r="892" spans="1:6" x14ac:dyDescent="0.25">
      <c r="A892" s="101" t="s">
        <v>396</v>
      </c>
      <c r="B892" s="105" t="s">
        <v>386</v>
      </c>
      <c r="C892" s="102" t="s">
        <v>1159</v>
      </c>
      <c r="D892" s="103">
        <v>494000</v>
      </c>
      <c r="E892" s="103"/>
      <c r="F892" s="104">
        <f t="shared" si="102"/>
        <v>494000</v>
      </c>
    </row>
    <row r="893" spans="1:6" ht="39" x14ac:dyDescent="0.3">
      <c r="A893" s="98" t="s">
        <v>1160</v>
      </c>
      <c r="B893" s="119" t="s">
        <v>386</v>
      </c>
      <c r="C893" s="99" t="s">
        <v>1161</v>
      </c>
      <c r="D893" s="94">
        <f>D898+D911+D915+D940+D923+D927+D894</f>
        <v>213945743.73000002</v>
      </c>
      <c r="E893" s="94">
        <f>E898+E911+E915+E940+E923+E927+E894</f>
        <v>181283956.84999999</v>
      </c>
      <c r="F893" s="95">
        <f t="shared" si="102"/>
        <v>32661786.880000025</v>
      </c>
    </row>
    <row r="894" spans="1:6" ht="103.5" hidden="1" x14ac:dyDescent="0.3">
      <c r="A894" s="100" t="s">
        <v>1162</v>
      </c>
      <c r="B894" s="92" t="s">
        <v>386</v>
      </c>
      <c r="C894" s="99" t="s">
        <v>1163</v>
      </c>
      <c r="D894" s="94">
        <f t="shared" ref="D894:E896" si="110">D895</f>
        <v>0</v>
      </c>
      <c r="E894" s="94">
        <f t="shared" si="110"/>
        <v>0</v>
      </c>
      <c r="F894" s="95">
        <f>D894-E894</f>
        <v>0</v>
      </c>
    </row>
    <row r="895" spans="1:6" ht="23" hidden="1" x14ac:dyDescent="0.3">
      <c r="A895" s="101" t="s">
        <v>488</v>
      </c>
      <c r="B895" s="105" t="s">
        <v>386</v>
      </c>
      <c r="C895" s="102" t="s">
        <v>1164</v>
      </c>
      <c r="D895" s="103">
        <f>D897</f>
        <v>0</v>
      </c>
      <c r="E895" s="103">
        <f>E897</f>
        <v>0</v>
      </c>
      <c r="F895" s="95">
        <f>D895-E895</f>
        <v>0</v>
      </c>
    </row>
    <row r="896" spans="1:6" ht="34.5" hidden="1" x14ac:dyDescent="0.25">
      <c r="A896" s="101" t="s">
        <v>394</v>
      </c>
      <c r="B896" s="105" t="s">
        <v>386</v>
      </c>
      <c r="C896" s="102" t="s">
        <v>1165</v>
      </c>
      <c r="D896" s="103">
        <f>D897</f>
        <v>0</v>
      </c>
      <c r="E896" s="103">
        <f t="shared" si="110"/>
        <v>0</v>
      </c>
      <c r="F896" s="104">
        <f>D896-E896</f>
        <v>0</v>
      </c>
    </row>
    <row r="897" spans="1:6" hidden="1" x14ac:dyDescent="0.25">
      <c r="A897" s="101" t="s">
        <v>396</v>
      </c>
      <c r="B897" s="105" t="s">
        <v>386</v>
      </c>
      <c r="C897" s="102" t="s">
        <v>1166</v>
      </c>
      <c r="D897" s="103"/>
      <c r="E897" s="103"/>
      <c r="F897" s="104">
        <f>D897-E897</f>
        <v>0</v>
      </c>
    </row>
    <row r="898" spans="1:6" ht="115" x14ac:dyDescent="0.3">
      <c r="A898" s="100" t="s">
        <v>1167</v>
      </c>
      <c r="B898" s="92" t="s">
        <v>386</v>
      </c>
      <c r="C898" s="99" t="s">
        <v>1168</v>
      </c>
      <c r="D898" s="94">
        <f t="shared" ref="D898:E900" si="111">D899</f>
        <v>7190230</v>
      </c>
      <c r="E898" s="94">
        <f t="shared" si="111"/>
        <v>7190230</v>
      </c>
      <c r="F898" s="95">
        <f t="shared" si="102"/>
        <v>0</v>
      </c>
    </row>
    <row r="899" spans="1:6" ht="13" x14ac:dyDescent="0.3">
      <c r="A899" s="101" t="s">
        <v>496</v>
      </c>
      <c r="B899" s="105" t="s">
        <v>386</v>
      </c>
      <c r="C899" s="102" t="s">
        <v>1169</v>
      </c>
      <c r="D899" s="103">
        <f t="shared" si="111"/>
        <v>7190230</v>
      </c>
      <c r="E899" s="103">
        <f t="shared" si="111"/>
        <v>7190230</v>
      </c>
      <c r="F899" s="95">
        <f t="shared" si="102"/>
        <v>0</v>
      </c>
    </row>
    <row r="900" spans="1:6" ht="46" x14ac:dyDescent="0.25">
      <c r="A900" s="132" t="s">
        <v>991</v>
      </c>
      <c r="B900" s="105" t="s">
        <v>386</v>
      </c>
      <c r="C900" s="102" t="s">
        <v>1170</v>
      </c>
      <c r="D900" s="103">
        <f t="shared" si="111"/>
        <v>7190230</v>
      </c>
      <c r="E900" s="103">
        <f t="shared" si="111"/>
        <v>7190230</v>
      </c>
      <c r="F900" s="104">
        <f t="shared" si="102"/>
        <v>0</v>
      </c>
    </row>
    <row r="901" spans="1:6" ht="57.5" x14ac:dyDescent="0.25">
      <c r="A901" s="101" t="s">
        <v>993</v>
      </c>
      <c r="B901" s="105" t="s">
        <v>386</v>
      </c>
      <c r="C901" s="102" t="s">
        <v>1171</v>
      </c>
      <c r="D901" s="103">
        <f>D906+D910</f>
        <v>7190230</v>
      </c>
      <c r="E901" s="103">
        <f>E906+E910</f>
        <v>7190230</v>
      </c>
      <c r="F901" s="104">
        <f t="shared" si="102"/>
        <v>0</v>
      </c>
    </row>
    <row r="902" spans="1:6" x14ac:dyDescent="0.25">
      <c r="A902" s="100" t="s">
        <v>121</v>
      </c>
      <c r="B902" s="105"/>
      <c r="C902" s="102"/>
      <c r="D902" s="103"/>
      <c r="E902" s="103"/>
      <c r="F902" s="104"/>
    </row>
    <row r="903" spans="1:6" ht="13" x14ac:dyDescent="0.3">
      <c r="A903" s="126" t="s">
        <v>410</v>
      </c>
      <c r="B903" s="92" t="s">
        <v>386</v>
      </c>
      <c r="C903" s="99" t="s">
        <v>1168</v>
      </c>
      <c r="D903" s="94">
        <f t="shared" ref="D903:E905" si="112">D904</f>
        <v>71910</v>
      </c>
      <c r="E903" s="94">
        <f t="shared" si="112"/>
        <v>71910</v>
      </c>
      <c r="F903" s="95">
        <f t="shared" ref="F903:F910" si="113">D903-E903</f>
        <v>0</v>
      </c>
    </row>
    <row r="904" spans="1:6" ht="13" x14ac:dyDescent="0.3">
      <c r="A904" s="101" t="s">
        <v>496</v>
      </c>
      <c r="B904" s="105" t="s">
        <v>386</v>
      </c>
      <c r="C904" s="102" t="s">
        <v>1169</v>
      </c>
      <c r="D904" s="103">
        <f t="shared" si="112"/>
        <v>71910</v>
      </c>
      <c r="E904" s="103">
        <f t="shared" si="112"/>
        <v>71910</v>
      </c>
      <c r="F904" s="95">
        <f t="shared" si="113"/>
        <v>0</v>
      </c>
    </row>
    <row r="905" spans="1:6" ht="46" x14ac:dyDescent="0.25">
      <c r="A905" s="132" t="s">
        <v>991</v>
      </c>
      <c r="B905" s="105" t="s">
        <v>386</v>
      </c>
      <c r="C905" s="102" t="s">
        <v>1170</v>
      </c>
      <c r="D905" s="103">
        <f t="shared" si="112"/>
        <v>71910</v>
      </c>
      <c r="E905" s="103">
        <f t="shared" si="112"/>
        <v>71910</v>
      </c>
      <c r="F905" s="104">
        <f t="shared" si="113"/>
        <v>0</v>
      </c>
    </row>
    <row r="906" spans="1:6" ht="51" customHeight="1" x14ac:dyDescent="0.25">
      <c r="A906" s="101" t="s">
        <v>993</v>
      </c>
      <c r="B906" s="105" t="s">
        <v>386</v>
      </c>
      <c r="C906" s="102" t="s">
        <v>1171</v>
      </c>
      <c r="D906" s="103">
        <f>71910</f>
        <v>71910</v>
      </c>
      <c r="E906" s="103">
        <f>71910</f>
        <v>71910</v>
      </c>
      <c r="F906" s="104">
        <f t="shared" si="113"/>
        <v>0</v>
      </c>
    </row>
    <row r="907" spans="1:6" ht="27" x14ac:dyDescent="0.3">
      <c r="A907" s="108" t="s">
        <v>951</v>
      </c>
      <c r="B907" s="92" t="s">
        <v>386</v>
      </c>
      <c r="C907" s="99" t="s">
        <v>1168</v>
      </c>
      <c r="D907" s="94">
        <f t="shared" ref="D907:E909" si="114">D908</f>
        <v>7118320</v>
      </c>
      <c r="E907" s="94">
        <f t="shared" si="114"/>
        <v>7118320</v>
      </c>
      <c r="F907" s="95">
        <f t="shared" si="113"/>
        <v>0</v>
      </c>
    </row>
    <row r="908" spans="1:6" ht="13" x14ac:dyDescent="0.3">
      <c r="A908" s="101" t="s">
        <v>496</v>
      </c>
      <c r="B908" s="105" t="s">
        <v>386</v>
      </c>
      <c r="C908" s="102" t="s">
        <v>1169</v>
      </c>
      <c r="D908" s="103">
        <f t="shared" si="114"/>
        <v>7118320</v>
      </c>
      <c r="E908" s="103">
        <f t="shared" si="114"/>
        <v>7118320</v>
      </c>
      <c r="F908" s="95">
        <f t="shared" si="113"/>
        <v>0</v>
      </c>
    </row>
    <row r="909" spans="1:6" ht="46" x14ac:dyDescent="0.25">
      <c r="A909" s="132" t="s">
        <v>991</v>
      </c>
      <c r="B909" s="105" t="s">
        <v>386</v>
      </c>
      <c r="C909" s="102" t="s">
        <v>1170</v>
      </c>
      <c r="D909" s="103">
        <f t="shared" si="114"/>
        <v>7118320</v>
      </c>
      <c r="E909" s="103">
        <f t="shared" si="114"/>
        <v>7118320</v>
      </c>
      <c r="F909" s="104">
        <f t="shared" si="113"/>
        <v>0</v>
      </c>
    </row>
    <row r="910" spans="1:6" ht="47.5" customHeight="1" x14ac:dyDescent="0.25">
      <c r="A910" s="101" t="s">
        <v>993</v>
      </c>
      <c r="B910" s="105" t="s">
        <v>386</v>
      </c>
      <c r="C910" s="102" t="s">
        <v>1171</v>
      </c>
      <c r="D910" s="103">
        <f>7118320</f>
        <v>7118320</v>
      </c>
      <c r="E910" s="103">
        <f>7118320</f>
        <v>7118320</v>
      </c>
      <c r="F910" s="104">
        <f t="shared" si="113"/>
        <v>0</v>
      </c>
    </row>
    <row r="911" spans="1:6" ht="82" customHeight="1" x14ac:dyDescent="0.3">
      <c r="A911" s="100" t="s">
        <v>1172</v>
      </c>
      <c r="B911" s="92" t="s">
        <v>386</v>
      </c>
      <c r="C911" s="99" t="s">
        <v>1173</v>
      </c>
      <c r="D911" s="94">
        <f t="shared" ref="D911:E913" si="115">D912</f>
        <v>443408.75</v>
      </c>
      <c r="E911" s="94">
        <f t="shared" si="115"/>
        <v>314580</v>
      </c>
      <c r="F911" s="95">
        <f>D911-E911</f>
        <v>128828.75</v>
      </c>
    </row>
    <row r="912" spans="1:6" ht="23" x14ac:dyDescent="0.3">
      <c r="A912" s="101" t="s">
        <v>488</v>
      </c>
      <c r="B912" s="105" t="s">
        <v>386</v>
      </c>
      <c r="C912" s="102" t="s">
        <v>1174</v>
      </c>
      <c r="D912" s="103">
        <f t="shared" si="115"/>
        <v>443408.75</v>
      </c>
      <c r="E912" s="103">
        <f t="shared" si="115"/>
        <v>314580</v>
      </c>
      <c r="F912" s="95">
        <f>D912-E912</f>
        <v>128828.75</v>
      </c>
    </row>
    <row r="913" spans="1:6" ht="34.5" x14ac:dyDescent="0.25">
      <c r="A913" s="101" t="s">
        <v>394</v>
      </c>
      <c r="B913" s="105" t="s">
        <v>386</v>
      </c>
      <c r="C913" s="102" t="s">
        <v>1175</v>
      </c>
      <c r="D913" s="103">
        <f t="shared" si="115"/>
        <v>443408.75</v>
      </c>
      <c r="E913" s="103">
        <f t="shared" si="115"/>
        <v>314580</v>
      </c>
      <c r="F913" s="104">
        <f>D913-E913</f>
        <v>128828.75</v>
      </c>
    </row>
    <row r="914" spans="1:6" x14ac:dyDescent="0.25">
      <c r="A914" s="101" t="s">
        <v>396</v>
      </c>
      <c r="B914" s="105" t="s">
        <v>386</v>
      </c>
      <c r="C914" s="102" t="s">
        <v>1176</v>
      </c>
      <c r="D914" s="103">
        <v>443408.75</v>
      </c>
      <c r="E914" s="103">
        <v>314580</v>
      </c>
      <c r="F914" s="104">
        <f>D914-E914</f>
        <v>128828.75</v>
      </c>
    </row>
    <row r="915" spans="1:6" ht="92" x14ac:dyDescent="0.3">
      <c r="A915" s="100" t="s">
        <v>1177</v>
      </c>
      <c r="B915" s="92" t="s">
        <v>386</v>
      </c>
      <c r="C915" s="99" t="s">
        <v>1178</v>
      </c>
      <c r="D915" s="94">
        <f>D916+D919</f>
        <v>9812159.7300000004</v>
      </c>
      <c r="E915" s="94">
        <f>E916+E919</f>
        <v>7272159.7300000004</v>
      </c>
      <c r="F915" s="95">
        <f t="shared" ref="F915:F921" si="116">D915-E915</f>
        <v>2540000</v>
      </c>
    </row>
    <row r="916" spans="1:6" ht="23" x14ac:dyDescent="0.3">
      <c r="A916" s="101" t="s">
        <v>488</v>
      </c>
      <c r="B916" s="105" t="s">
        <v>386</v>
      </c>
      <c r="C916" s="102" t="s">
        <v>1179</v>
      </c>
      <c r="D916" s="103">
        <f>D917</f>
        <v>2540000</v>
      </c>
      <c r="E916" s="103">
        <f>E917</f>
        <v>0</v>
      </c>
      <c r="F916" s="95">
        <f t="shared" si="116"/>
        <v>2540000</v>
      </c>
    </row>
    <row r="917" spans="1:6" ht="34.5" x14ac:dyDescent="0.25">
      <c r="A917" s="132" t="s">
        <v>394</v>
      </c>
      <c r="B917" s="105" t="s">
        <v>386</v>
      </c>
      <c r="C917" s="102" t="s">
        <v>1180</v>
      </c>
      <c r="D917" s="103">
        <f>D918</f>
        <v>2540000</v>
      </c>
      <c r="E917" s="103">
        <f>E918</f>
        <v>0</v>
      </c>
      <c r="F917" s="104">
        <f t="shared" si="116"/>
        <v>2540000</v>
      </c>
    </row>
    <row r="918" spans="1:6" x14ac:dyDescent="0.25">
      <c r="A918" s="101" t="s">
        <v>396</v>
      </c>
      <c r="B918" s="105" t="s">
        <v>386</v>
      </c>
      <c r="C918" s="102" t="s">
        <v>1181</v>
      </c>
      <c r="D918" s="103">
        <v>2540000</v>
      </c>
      <c r="E918" s="103"/>
      <c r="F918" s="104">
        <f>D918-E918</f>
        <v>2540000</v>
      </c>
    </row>
    <row r="919" spans="1:6" ht="34.5" x14ac:dyDescent="0.25">
      <c r="A919" s="101" t="s">
        <v>400</v>
      </c>
      <c r="B919" s="105" t="s">
        <v>386</v>
      </c>
      <c r="C919" s="102" t="s">
        <v>1182</v>
      </c>
      <c r="D919" s="103">
        <f>D920</f>
        <v>7272159.7300000004</v>
      </c>
      <c r="E919" s="103">
        <f>E920</f>
        <v>7272159.7300000004</v>
      </c>
      <c r="F919" s="104">
        <f t="shared" si="116"/>
        <v>0</v>
      </c>
    </row>
    <row r="920" spans="1:6" x14ac:dyDescent="0.25">
      <c r="A920" s="101" t="s">
        <v>402</v>
      </c>
      <c r="B920" s="105" t="s">
        <v>386</v>
      </c>
      <c r="C920" s="102" t="s">
        <v>1183</v>
      </c>
      <c r="D920" s="103">
        <f>SUM(D921:D922)</f>
        <v>7272159.7300000004</v>
      </c>
      <c r="E920" s="103">
        <f>SUM(E921:E922)</f>
        <v>7272159.7300000004</v>
      </c>
      <c r="F920" s="104">
        <f t="shared" si="116"/>
        <v>0</v>
      </c>
    </row>
    <row r="921" spans="1:6" ht="57.5" x14ac:dyDescent="0.25">
      <c r="A921" s="101" t="s">
        <v>418</v>
      </c>
      <c r="B921" s="105" t="s">
        <v>386</v>
      </c>
      <c r="C921" s="102" t="s">
        <v>1184</v>
      </c>
      <c r="D921" s="103">
        <v>3325159.73</v>
      </c>
      <c r="E921" s="103">
        <v>3325159.73</v>
      </c>
      <c r="F921" s="104">
        <f t="shared" si="116"/>
        <v>0</v>
      </c>
    </row>
    <row r="922" spans="1:6" ht="23" x14ac:dyDescent="0.25">
      <c r="A922" s="107" t="s">
        <v>404</v>
      </c>
      <c r="B922" s="105" t="s">
        <v>386</v>
      </c>
      <c r="C922" s="102" t="s">
        <v>1185</v>
      </c>
      <c r="D922" s="103">
        <v>3947000</v>
      </c>
      <c r="E922" s="103">
        <v>3947000</v>
      </c>
      <c r="F922" s="104">
        <f>D922-E922</f>
        <v>0</v>
      </c>
    </row>
    <row r="923" spans="1:6" ht="106.5" customHeight="1" x14ac:dyDescent="0.3">
      <c r="A923" s="100" t="s">
        <v>1186</v>
      </c>
      <c r="B923" s="92" t="s">
        <v>386</v>
      </c>
      <c r="C923" s="99" t="s">
        <v>1187</v>
      </c>
      <c r="D923" s="94">
        <f t="shared" ref="D923:E925" si="117">D924</f>
        <v>6336740</v>
      </c>
      <c r="E923" s="94">
        <f t="shared" si="117"/>
        <v>0</v>
      </c>
      <c r="F923" s="95">
        <f t="shared" si="102"/>
        <v>6336740</v>
      </c>
    </row>
    <row r="924" spans="1:6" ht="34.5" x14ac:dyDescent="0.3">
      <c r="A924" s="101" t="s">
        <v>400</v>
      </c>
      <c r="B924" s="105" t="s">
        <v>386</v>
      </c>
      <c r="C924" s="102" t="s">
        <v>1188</v>
      </c>
      <c r="D924" s="103">
        <f t="shared" si="117"/>
        <v>6336740</v>
      </c>
      <c r="E924" s="103">
        <f t="shared" si="117"/>
        <v>0</v>
      </c>
      <c r="F924" s="95">
        <f t="shared" si="102"/>
        <v>6336740</v>
      </c>
    </row>
    <row r="925" spans="1:6" x14ac:dyDescent="0.25">
      <c r="A925" s="101" t="s">
        <v>402</v>
      </c>
      <c r="B925" s="105" t="s">
        <v>386</v>
      </c>
      <c r="C925" s="102" t="s">
        <v>1189</v>
      </c>
      <c r="D925" s="103">
        <f t="shared" si="117"/>
        <v>6336740</v>
      </c>
      <c r="E925" s="103">
        <f t="shared" si="117"/>
        <v>0</v>
      </c>
      <c r="F925" s="104">
        <f t="shared" si="102"/>
        <v>6336740</v>
      </c>
    </row>
    <row r="926" spans="1:6" ht="23" x14ac:dyDescent="0.25">
      <c r="A926" s="107" t="s">
        <v>404</v>
      </c>
      <c r="B926" s="105" t="s">
        <v>386</v>
      </c>
      <c r="C926" s="102" t="s">
        <v>1190</v>
      </c>
      <c r="D926" s="103">
        <f>3191000-3191000+6336740</f>
        <v>6336740</v>
      </c>
      <c r="E926" s="103"/>
      <c r="F926" s="104">
        <f t="shared" si="102"/>
        <v>6336740</v>
      </c>
    </row>
    <row r="927" spans="1:6" ht="103.5" x14ac:dyDescent="0.3">
      <c r="A927" s="100" t="s">
        <v>1191</v>
      </c>
      <c r="B927" s="92" t="s">
        <v>386</v>
      </c>
      <c r="C927" s="99" t="s">
        <v>1192</v>
      </c>
      <c r="D927" s="94">
        <f t="shared" ref="D927:E938" si="118">D928</f>
        <v>153200364</v>
      </c>
      <c r="E927" s="94">
        <f t="shared" si="118"/>
        <v>153200364</v>
      </c>
      <c r="F927" s="95">
        <f t="shared" si="102"/>
        <v>0</v>
      </c>
    </row>
    <row r="928" spans="1:6" ht="34.5" x14ac:dyDescent="0.3">
      <c r="A928" s="101" t="s">
        <v>400</v>
      </c>
      <c r="B928" s="105" t="s">
        <v>386</v>
      </c>
      <c r="C928" s="102" t="s">
        <v>1193</v>
      </c>
      <c r="D928" s="103">
        <f t="shared" si="118"/>
        <v>153200364</v>
      </c>
      <c r="E928" s="103">
        <f t="shared" si="118"/>
        <v>153200364</v>
      </c>
      <c r="F928" s="95">
        <f t="shared" si="102"/>
        <v>0</v>
      </c>
    </row>
    <row r="929" spans="1:6" x14ac:dyDescent="0.25">
      <c r="A929" s="101" t="s">
        <v>402</v>
      </c>
      <c r="B929" s="105" t="s">
        <v>386</v>
      </c>
      <c r="C929" s="102" t="s">
        <v>1194</v>
      </c>
      <c r="D929" s="103">
        <f t="shared" si="118"/>
        <v>153200364</v>
      </c>
      <c r="E929" s="103">
        <f t="shared" si="118"/>
        <v>153200364</v>
      </c>
      <c r="F929" s="104">
        <f t="shared" si="102"/>
        <v>0</v>
      </c>
    </row>
    <row r="930" spans="1:6" ht="23" x14ac:dyDescent="0.25">
      <c r="A930" s="107" t="s">
        <v>404</v>
      </c>
      <c r="B930" s="105" t="s">
        <v>386</v>
      </c>
      <c r="C930" s="102" t="s">
        <v>1195</v>
      </c>
      <c r="D930" s="103">
        <f>D935+D939</f>
        <v>153200364</v>
      </c>
      <c r="E930" s="103">
        <f>E935+E939</f>
        <v>153200364</v>
      </c>
      <c r="F930" s="104">
        <f t="shared" si="102"/>
        <v>0</v>
      </c>
    </row>
    <row r="931" spans="1:6" ht="13" x14ac:dyDescent="0.25">
      <c r="A931" s="98" t="s">
        <v>121</v>
      </c>
      <c r="B931" s="105"/>
      <c r="C931" s="102"/>
      <c r="D931" s="103"/>
      <c r="E931" s="103"/>
      <c r="F931" s="104"/>
    </row>
    <row r="932" spans="1:6" ht="13.5" x14ac:dyDescent="0.3">
      <c r="A932" s="108" t="s">
        <v>410</v>
      </c>
      <c r="B932" s="92" t="s">
        <v>386</v>
      </c>
      <c r="C932" s="99" t="s">
        <v>1192</v>
      </c>
      <c r="D932" s="94">
        <f t="shared" si="118"/>
        <v>1685204</v>
      </c>
      <c r="E932" s="94">
        <f t="shared" si="118"/>
        <v>1685204</v>
      </c>
      <c r="F932" s="95">
        <f t="shared" ref="F932:F939" si="119">D932-E932</f>
        <v>0</v>
      </c>
    </row>
    <row r="933" spans="1:6" ht="34.5" x14ac:dyDescent="0.3">
      <c r="A933" s="101" t="s">
        <v>400</v>
      </c>
      <c r="B933" s="105" t="s">
        <v>386</v>
      </c>
      <c r="C933" s="102" t="s">
        <v>1193</v>
      </c>
      <c r="D933" s="103">
        <f t="shared" si="118"/>
        <v>1685204</v>
      </c>
      <c r="E933" s="103">
        <f t="shared" si="118"/>
        <v>1685204</v>
      </c>
      <c r="F933" s="95">
        <f t="shared" si="119"/>
        <v>0</v>
      </c>
    </row>
    <row r="934" spans="1:6" x14ac:dyDescent="0.25">
      <c r="A934" s="101" t="s">
        <v>402</v>
      </c>
      <c r="B934" s="105" t="s">
        <v>386</v>
      </c>
      <c r="C934" s="102" t="s">
        <v>1194</v>
      </c>
      <c r="D934" s="103">
        <f t="shared" si="118"/>
        <v>1685204</v>
      </c>
      <c r="E934" s="103">
        <f t="shared" si="118"/>
        <v>1685204</v>
      </c>
      <c r="F934" s="104">
        <f t="shared" si="119"/>
        <v>0</v>
      </c>
    </row>
    <row r="935" spans="1:6" ht="23" x14ac:dyDescent="0.25">
      <c r="A935" s="107" t="s">
        <v>404</v>
      </c>
      <c r="B935" s="105" t="s">
        <v>386</v>
      </c>
      <c r="C935" s="102" t="s">
        <v>1195</v>
      </c>
      <c r="D935" s="103">
        <v>1685204</v>
      </c>
      <c r="E935" s="103">
        <v>1685204</v>
      </c>
      <c r="F935" s="104">
        <f t="shared" si="119"/>
        <v>0</v>
      </c>
    </row>
    <row r="936" spans="1:6" ht="27" x14ac:dyDescent="0.3">
      <c r="A936" s="108" t="s">
        <v>951</v>
      </c>
      <c r="B936" s="92" t="s">
        <v>386</v>
      </c>
      <c r="C936" s="99" t="s">
        <v>1192</v>
      </c>
      <c r="D936" s="94">
        <f t="shared" si="118"/>
        <v>151515160</v>
      </c>
      <c r="E936" s="94">
        <f t="shared" si="118"/>
        <v>151515160</v>
      </c>
      <c r="F936" s="95">
        <f t="shared" si="119"/>
        <v>0</v>
      </c>
    </row>
    <row r="937" spans="1:6" ht="34.5" x14ac:dyDescent="0.3">
      <c r="A937" s="101" t="s">
        <v>400</v>
      </c>
      <c r="B937" s="105" t="s">
        <v>386</v>
      </c>
      <c r="C937" s="102" t="s">
        <v>1193</v>
      </c>
      <c r="D937" s="103">
        <f t="shared" si="118"/>
        <v>151515160</v>
      </c>
      <c r="E937" s="103">
        <f t="shared" si="118"/>
        <v>151515160</v>
      </c>
      <c r="F937" s="95">
        <f t="shared" si="119"/>
        <v>0</v>
      </c>
    </row>
    <row r="938" spans="1:6" x14ac:dyDescent="0.25">
      <c r="A938" s="101" t="s">
        <v>402</v>
      </c>
      <c r="B938" s="105" t="s">
        <v>386</v>
      </c>
      <c r="C938" s="102" t="s">
        <v>1194</v>
      </c>
      <c r="D938" s="103">
        <f t="shared" si="118"/>
        <v>151515160</v>
      </c>
      <c r="E938" s="103">
        <f t="shared" si="118"/>
        <v>151515160</v>
      </c>
      <c r="F938" s="104">
        <f t="shared" si="119"/>
        <v>0</v>
      </c>
    </row>
    <row r="939" spans="1:6" ht="23" x14ac:dyDescent="0.25">
      <c r="A939" s="107" t="s">
        <v>404</v>
      </c>
      <c r="B939" s="105" t="s">
        <v>386</v>
      </c>
      <c r="C939" s="102" t="s">
        <v>1195</v>
      </c>
      <c r="D939" s="103">
        <v>151515160</v>
      </c>
      <c r="E939" s="103">
        <v>151515160</v>
      </c>
      <c r="F939" s="104">
        <f t="shared" si="119"/>
        <v>0</v>
      </c>
    </row>
    <row r="940" spans="1:6" ht="84" customHeight="1" x14ac:dyDescent="0.3">
      <c r="A940" s="100" t="s">
        <v>1172</v>
      </c>
      <c r="B940" s="92" t="s">
        <v>386</v>
      </c>
      <c r="C940" s="99" t="s">
        <v>1196</v>
      </c>
      <c r="D940" s="94">
        <f t="shared" ref="D940:E951" si="120">D941</f>
        <v>36962841.25</v>
      </c>
      <c r="E940" s="94">
        <f t="shared" si="120"/>
        <v>13306623.119999999</v>
      </c>
      <c r="F940" s="95">
        <f t="shared" si="102"/>
        <v>23656218.130000003</v>
      </c>
    </row>
    <row r="941" spans="1:6" ht="23" x14ac:dyDescent="0.3">
      <c r="A941" s="101" t="s">
        <v>488</v>
      </c>
      <c r="B941" s="105" t="s">
        <v>386</v>
      </c>
      <c r="C941" s="102" t="s">
        <v>1197</v>
      </c>
      <c r="D941" s="103">
        <f t="shared" si="120"/>
        <v>36962841.25</v>
      </c>
      <c r="E941" s="103">
        <f t="shared" si="120"/>
        <v>13306623.119999999</v>
      </c>
      <c r="F941" s="95">
        <f t="shared" si="102"/>
        <v>23656218.130000003</v>
      </c>
    </row>
    <row r="942" spans="1:6" ht="34.5" x14ac:dyDescent="0.25">
      <c r="A942" s="101" t="s">
        <v>394</v>
      </c>
      <c r="B942" s="105" t="s">
        <v>386</v>
      </c>
      <c r="C942" s="102" t="s">
        <v>1198</v>
      </c>
      <c r="D942" s="103">
        <f t="shared" si="120"/>
        <v>36962841.25</v>
      </c>
      <c r="E942" s="103">
        <f t="shared" si="120"/>
        <v>13306623.119999999</v>
      </c>
      <c r="F942" s="104">
        <f t="shared" si="102"/>
        <v>23656218.130000003</v>
      </c>
    </row>
    <row r="943" spans="1:6" x14ac:dyDescent="0.25">
      <c r="A943" s="101" t="s">
        <v>396</v>
      </c>
      <c r="B943" s="105" t="s">
        <v>386</v>
      </c>
      <c r="C943" s="102" t="s">
        <v>1199</v>
      </c>
      <c r="D943" s="103">
        <f>D948+D952</f>
        <v>36962841.25</v>
      </c>
      <c r="E943" s="103">
        <f>E948+E952</f>
        <v>13306623.119999999</v>
      </c>
      <c r="F943" s="104">
        <f t="shared" si="102"/>
        <v>23656218.130000003</v>
      </c>
    </row>
    <row r="944" spans="1:6" ht="13" x14ac:dyDescent="0.25">
      <c r="A944" s="98" t="s">
        <v>121</v>
      </c>
      <c r="B944" s="105"/>
      <c r="C944" s="102"/>
      <c r="D944" s="103"/>
      <c r="E944" s="103"/>
      <c r="F944" s="104"/>
    </row>
    <row r="945" spans="1:6" ht="13.5" x14ac:dyDescent="0.3">
      <c r="A945" s="108" t="s">
        <v>410</v>
      </c>
      <c r="B945" s="92" t="s">
        <v>386</v>
      </c>
      <c r="C945" s="99" t="s">
        <v>1196</v>
      </c>
      <c r="D945" s="94">
        <f t="shared" si="120"/>
        <v>406591.25</v>
      </c>
      <c r="E945" s="94">
        <f t="shared" si="120"/>
        <v>146372.85</v>
      </c>
      <c r="F945" s="95">
        <f>D945-E945</f>
        <v>260218.4</v>
      </c>
    </row>
    <row r="946" spans="1:6" ht="23" x14ac:dyDescent="0.3">
      <c r="A946" s="101" t="s">
        <v>488</v>
      </c>
      <c r="B946" s="105" t="s">
        <v>386</v>
      </c>
      <c r="C946" s="102" t="s">
        <v>1197</v>
      </c>
      <c r="D946" s="103">
        <f t="shared" si="120"/>
        <v>406591.25</v>
      </c>
      <c r="E946" s="103">
        <f t="shared" si="120"/>
        <v>146372.85</v>
      </c>
      <c r="F946" s="95">
        <f>D946-E946</f>
        <v>260218.4</v>
      </c>
    </row>
    <row r="947" spans="1:6" ht="34.5" x14ac:dyDescent="0.25">
      <c r="A947" s="101" t="s">
        <v>394</v>
      </c>
      <c r="B947" s="105" t="s">
        <v>386</v>
      </c>
      <c r="C947" s="102" t="s">
        <v>1198</v>
      </c>
      <c r="D947" s="103">
        <f t="shared" si="120"/>
        <v>406591.25</v>
      </c>
      <c r="E947" s="103">
        <f t="shared" si="120"/>
        <v>146372.85</v>
      </c>
      <c r="F947" s="104">
        <f>D947-E947</f>
        <v>260218.4</v>
      </c>
    </row>
    <row r="948" spans="1:6" x14ac:dyDescent="0.25">
      <c r="A948" s="101" t="s">
        <v>396</v>
      </c>
      <c r="B948" s="105" t="s">
        <v>386</v>
      </c>
      <c r="C948" s="102" t="s">
        <v>1199</v>
      </c>
      <c r="D948" s="103">
        <v>406591.25</v>
      </c>
      <c r="E948" s="103">
        <f>4735.16+141637.69</f>
        <v>146372.85</v>
      </c>
      <c r="F948" s="104">
        <f>D948-E948</f>
        <v>260218.4</v>
      </c>
    </row>
    <row r="949" spans="1:6" ht="27" x14ac:dyDescent="0.3">
      <c r="A949" s="108" t="s">
        <v>951</v>
      </c>
      <c r="B949" s="92" t="s">
        <v>386</v>
      </c>
      <c r="C949" s="99" t="s">
        <v>1196</v>
      </c>
      <c r="D949" s="94">
        <f t="shared" si="120"/>
        <v>36556250</v>
      </c>
      <c r="E949" s="94">
        <f t="shared" si="120"/>
        <v>13160250.27</v>
      </c>
      <c r="F949" s="95">
        <f t="shared" si="102"/>
        <v>23395999.73</v>
      </c>
    </row>
    <row r="950" spans="1:6" s="55" customFormat="1" ht="23" x14ac:dyDescent="0.3">
      <c r="A950" s="101" t="s">
        <v>488</v>
      </c>
      <c r="B950" s="105" t="s">
        <v>386</v>
      </c>
      <c r="C950" s="102" t="s">
        <v>1197</v>
      </c>
      <c r="D950" s="103">
        <f t="shared" si="120"/>
        <v>36556250</v>
      </c>
      <c r="E950" s="103">
        <f t="shared" si="120"/>
        <v>13160250.27</v>
      </c>
      <c r="F950" s="95">
        <f t="shared" si="102"/>
        <v>23395999.73</v>
      </c>
    </row>
    <row r="951" spans="1:6" s="55" customFormat="1" ht="34.5" x14ac:dyDescent="0.3">
      <c r="A951" s="101" t="s">
        <v>394</v>
      </c>
      <c r="B951" s="105" t="s">
        <v>386</v>
      </c>
      <c r="C951" s="102" t="s">
        <v>1198</v>
      </c>
      <c r="D951" s="103">
        <f t="shared" si="120"/>
        <v>36556250</v>
      </c>
      <c r="E951" s="103">
        <f t="shared" si="120"/>
        <v>13160250.27</v>
      </c>
      <c r="F951" s="104">
        <f t="shared" si="102"/>
        <v>23395999.73</v>
      </c>
    </row>
    <row r="952" spans="1:6" s="55" customFormat="1" ht="13" x14ac:dyDescent="0.3">
      <c r="A952" s="101" t="s">
        <v>396</v>
      </c>
      <c r="B952" s="105" t="s">
        <v>386</v>
      </c>
      <c r="C952" s="102" t="s">
        <v>1199</v>
      </c>
      <c r="D952" s="103">
        <v>36556250</v>
      </c>
      <c r="E952" s="103">
        <f>425734.17+12734516.1</f>
        <v>13160250.27</v>
      </c>
      <c r="F952" s="104">
        <f t="shared" si="102"/>
        <v>23395999.73</v>
      </c>
    </row>
    <row r="953" spans="1:6" s="55" customFormat="1" ht="39" x14ac:dyDescent="0.3">
      <c r="A953" s="98" t="s">
        <v>1200</v>
      </c>
      <c r="B953" s="119" t="s">
        <v>386</v>
      </c>
      <c r="C953" s="99" t="s">
        <v>1201</v>
      </c>
      <c r="D953" s="94">
        <f>D954+D958+D962</f>
        <v>26417246</v>
      </c>
      <c r="E953" s="94">
        <f>E954+E958+E962</f>
        <v>22980619.539999999</v>
      </c>
      <c r="F953" s="95">
        <f t="shared" si="102"/>
        <v>3436626.4600000009</v>
      </c>
    </row>
    <row r="954" spans="1:6" s="55" customFormat="1" ht="57.5" x14ac:dyDescent="0.3">
      <c r="A954" s="100" t="s">
        <v>1202</v>
      </c>
      <c r="B954" s="92" t="s">
        <v>386</v>
      </c>
      <c r="C954" s="99" t="s">
        <v>1203</v>
      </c>
      <c r="D954" s="94">
        <f t="shared" ref="D954:E969" si="121">D955</f>
        <v>6926937</v>
      </c>
      <c r="E954" s="94">
        <f t="shared" si="121"/>
        <v>6060310.54</v>
      </c>
      <c r="F954" s="95">
        <f t="shared" si="102"/>
        <v>866626.46</v>
      </c>
    </row>
    <row r="955" spans="1:6" s="55" customFormat="1" ht="23" x14ac:dyDescent="0.3">
      <c r="A955" s="101" t="s">
        <v>488</v>
      </c>
      <c r="B955" s="105" t="s">
        <v>386</v>
      </c>
      <c r="C955" s="102" t="s">
        <v>1204</v>
      </c>
      <c r="D955" s="103">
        <f t="shared" si="121"/>
        <v>6926937</v>
      </c>
      <c r="E955" s="103">
        <f t="shared" si="121"/>
        <v>6060310.54</v>
      </c>
      <c r="F955" s="95">
        <f t="shared" si="102"/>
        <v>866626.46</v>
      </c>
    </row>
    <row r="956" spans="1:6" s="55" customFormat="1" ht="34.5" x14ac:dyDescent="0.3">
      <c r="A956" s="101" t="s">
        <v>394</v>
      </c>
      <c r="B956" s="105" t="s">
        <v>386</v>
      </c>
      <c r="C956" s="102" t="s">
        <v>1205</v>
      </c>
      <c r="D956" s="103">
        <f t="shared" si="121"/>
        <v>6926937</v>
      </c>
      <c r="E956" s="103">
        <f t="shared" si="121"/>
        <v>6060310.54</v>
      </c>
      <c r="F956" s="104">
        <f t="shared" si="102"/>
        <v>866626.46</v>
      </c>
    </row>
    <row r="957" spans="1:6" s="55" customFormat="1" ht="13" x14ac:dyDescent="0.3">
      <c r="A957" s="101" t="s">
        <v>396</v>
      </c>
      <c r="B957" s="105" t="s">
        <v>386</v>
      </c>
      <c r="C957" s="102" t="s">
        <v>1206</v>
      </c>
      <c r="D957" s="103">
        <v>6926937</v>
      </c>
      <c r="E957" s="103">
        <v>6060310.54</v>
      </c>
      <c r="F957" s="104">
        <f t="shared" si="102"/>
        <v>866626.46</v>
      </c>
    </row>
    <row r="958" spans="1:6" s="55" customFormat="1" ht="57.5" hidden="1" x14ac:dyDescent="0.3">
      <c r="A958" s="100" t="s">
        <v>1207</v>
      </c>
      <c r="B958" s="92" t="s">
        <v>386</v>
      </c>
      <c r="C958" s="99" t="s">
        <v>1208</v>
      </c>
      <c r="D958" s="94">
        <f t="shared" si="121"/>
        <v>0</v>
      </c>
      <c r="E958" s="94">
        <f t="shared" si="121"/>
        <v>0</v>
      </c>
      <c r="F958" s="95">
        <f t="shared" si="102"/>
        <v>0</v>
      </c>
    </row>
    <row r="959" spans="1:6" s="55" customFormat="1" ht="23" hidden="1" x14ac:dyDescent="0.3">
      <c r="A959" s="101" t="s">
        <v>488</v>
      </c>
      <c r="B959" s="105" t="s">
        <v>386</v>
      </c>
      <c r="C959" s="102" t="s">
        <v>1209</v>
      </c>
      <c r="D959" s="103">
        <f t="shared" si="121"/>
        <v>0</v>
      </c>
      <c r="E959" s="103">
        <f t="shared" si="121"/>
        <v>0</v>
      </c>
      <c r="F959" s="95">
        <f t="shared" si="102"/>
        <v>0</v>
      </c>
    </row>
    <row r="960" spans="1:6" s="55" customFormat="1" ht="34.5" hidden="1" x14ac:dyDescent="0.3">
      <c r="A960" s="101" t="s">
        <v>394</v>
      </c>
      <c r="B960" s="105" t="s">
        <v>386</v>
      </c>
      <c r="C960" s="102" t="s">
        <v>1210</v>
      </c>
      <c r="D960" s="103">
        <f t="shared" si="121"/>
        <v>0</v>
      </c>
      <c r="E960" s="103">
        <f t="shared" si="121"/>
        <v>0</v>
      </c>
      <c r="F960" s="104">
        <f t="shared" si="102"/>
        <v>0</v>
      </c>
    </row>
    <row r="961" spans="1:6" s="55" customFormat="1" ht="13" hidden="1" x14ac:dyDescent="0.3">
      <c r="A961" s="101" t="s">
        <v>396</v>
      </c>
      <c r="B961" s="105" t="s">
        <v>386</v>
      </c>
      <c r="C961" s="102" t="s">
        <v>1211</v>
      </c>
      <c r="D961" s="103"/>
      <c r="E961" s="103"/>
      <c r="F961" s="104">
        <f t="shared" si="102"/>
        <v>0</v>
      </c>
    </row>
    <row r="962" spans="1:6" s="55" customFormat="1" ht="80.5" x14ac:dyDescent="0.3">
      <c r="A962" s="100" t="s">
        <v>1212</v>
      </c>
      <c r="B962" s="92" t="s">
        <v>386</v>
      </c>
      <c r="C962" s="99" t="s">
        <v>1213</v>
      </c>
      <c r="D962" s="94">
        <f>D963</f>
        <v>19490309</v>
      </c>
      <c r="E962" s="94">
        <f>E963</f>
        <v>16920309</v>
      </c>
      <c r="F962" s="95">
        <f t="shared" si="102"/>
        <v>2570000</v>
      </c>
    </row>
    <row r="963" spans="1:6" s="55" customFormat="1" ht="34.5" x14ac:dyDescent="0.3">
      <c r="A963" s="101" t="s">
        <v>400</v>
      </c>
      <c r="B963" s="105" t="s">
        <v>386</v>
      </c>
      <c r="C963" s="102" t="s">
        <v>1214</v>
      </c>
      <c r="D963" s="103">
        <f>D964</f>
        <v>19490309</v>
      </c>
      <c r="E963" s="103">
        <f>E964</f>
        <v>16920309</v>
      </c>
      <c r="F963" s="104">
        <f t="shared" si="102"/>
        <v>2570000</v>
      </c>
    </row>
    <row r="964" spans="1:6" s="55" customFormat="1" ht="13" x14ac:dyDescent="0.3">
      <c r="A964" s="101" t="s">
        <v>402</v>
      </c>
      <c r="B964" s="105" t="s">
        <v>386</v>
      </c>
      <c r="C964" s="102" t="s">
        <v>1215</v>
      </c>
      <c r="D964" s="103">
        <f>SUM(D965:D966)</f>
        <v>19490309</v>
      </c>
      <c r="E964" s="103">
        <f>SUM(E965:E966)</f>
        <v>16920309</v>
      </c>
      <c r="F964" s="104">
        <f t="shared" si="102"/>
        <v>2570000</v>
      </c>
    </row>
    <row r="965" spans="1:6" s="55" customFormat="1" ht="57.5" x14ac:dyDescent="0.3">
      <c r="A965" s="101" t="s">
        <v>418</v>
      </c>
      <c r="B965" s="105" t="s">
        <v>386</v>
      </c>
      <c r="C965" s="102" t="s">
        <v>1216</v>
      </c>
      <c r="D965" s="103">
        <v>16585309</v>
      </c>
      <c r="E965" s="103">
        <v>16495309</v>
      </c>
      <c r="F965" s="104">
        <f t="shared" si="102"/>
        <v>90000</v>
      </c>
    </row>
    <row r="966" spans="1:6" s="55" customFormat="1" ht="23" x14ac:dyDescent="0.3">
      <c r="A966" s="107" t="s">
        <v>404</v>
      </c>
      <c r="B966" s="105" t="s">
        <v>386</v>
      </c>
      <c r="C966" s="102" t="s">
        <v>1217</v>
      </c>
      <c r="D966" s="103">
        <v>2905000</v>
      </c>
      <c r="E966" s="103">
        <v>425000</v>
      </c>
      <c r="F966" s="104">
        <f>D966-E966</f>
        <v>2480000</v>
      </c>
    </row>
    <row r="967" spans="1:6" ht="26" x14ac:dyDescent="0.3">
      <c r="A967" s="98" t="s">
        <v>661</v>
      </c>
      <c r="B967" s="92" t="s">
        <v>386</v>
      </c>
      <c r="C967" s="99" t="s">
        <v>1218</v>
      </c>
      <c r="D967" s="94">
        <f t="shared" si="121"/>
        <v>99389.34</v>
      </c>
      <c r="E967" s="94">
        <f t="shared" si="121"/>
        <v>99389.34</v>
      </c>
      <c r="F967" s="95">
        <f t="shared" si="102"/>
        <v>0</v>
      </c>
    </row>
    <row r="968" spans="1:6" ht="23" x14ac:dyDescent="0.3">
      <c r="A968" s="101" t="s">
        <v>488</v>
      </c>
      <c r="B968" s="105" t="s">
        <v>386</v>
      </c>
      <c r="C968" s="102" t="s">
        <v>1219</v>
      </c>
      <c r="D968" s="103">
        <f t="shared" si="121"/>
        <v>99389.34</v>
      </c>
      <c r="E968" s="103">
        <f t="shared" si="121"/>
        <v>99389.34</v>
      </c>
      <c r="F968" s="95">
        <f t="shared" si="102"/>
        <v>0</v>
      </c>
    </row>
    <row r="969" spans="1:6" ht="34.5" x14ac:dyDescent="0.25">
      <c r="A969" s="101" t="s">
        <v>394</v>
      </c>
      <c r="B969" s="105" t="s">
        <v>386</v>
      </c>
      <c r="C969" s="102" t="s">
        <v>1220</v>
      </c>
      <c r="D969" s="103">
        <f t="shared" si="121"/>
        <v>99389.34</v>
      </c>
      <c r="E969" s="103">
        <f t="shared" si="121"/>
        <v>99389.34</v>
      </c>
      <c r="F969" s="104">
        <f t="shared" si="102"/>
        <v>0</v>
      </c>
    </row>
    <row r="970" spans="1:6" x14ac:dyDescent="0.25">
      <c r="A970" s="101" t="s">
        <v>396</v>
      </c>
      <c r="B970" s="105" t="s">
        <v>386</v>
      </c>
      <c r="C970" s="102" t="s">
        <v>1221</v>
      </c>
      <c r="D970" s="103">
        <v>99389.34</v>
      </c>
      <c r="E970" s="103">
        <v>99389.34</v>
      </c>
      <c r="F970" s="104">
        <f t="shared" si="102"/>
        <v>0</v>
      </c>
    </row>
    <row r="971" spans="1:6" ht="13" x14ac:dyDescent="0.3">
      <c r="A971" s="98" t="s">
        <v>1222</v>
      </c>
      <c r="B971" s="92" t="s">
        <v>386</v>
      </c>
      <c r="C971" s="118" t="s">
        <v>1223</v>
      </c>
      <c r="D971" s="94">
        <f>D991+D972</f>
        <v>928705.45</v>
      </c>
      <c r="E971" s="94">
        <f>E991+E972</f>
        <v>713136.28</v>
      </c>
      <c r="F971" s="95">
        <f t="shared" si="102"/>
        <v>215569.16999999993</v>
      </c>
    </row>
    <row r="972" spans="1:6" ht="39" x14ac:dyDescent="0.3">
      <c r="A972" s="98" t="s">
        <v>1224</v>
      </c>
      <c r="B972" s="92" t="s">
        <v>386</v>
      </c>
      <c r="C972" s="118" t="s">
        <v>1225</v>
      </c>
      <c r="D972" s="94">
        <f>D973</f>
        <v>146000</v>
      </c>
      <c r="E972" s="94">
        <f>E973</f>
        <v>47880</v>
      </c>
      <c r="F972" s="95">
        <f t="shared" si="102"/>
        <v>98120</v>
      </c>
    </row>
    <row r="973" spans="1:6" ht="39" x14ac:dyDescent="0.3">
      <c r="A973" s="125" t="s">
        <v>612</v>
      </c>
      <c r="B973" s="92" t="s">
        <v>386</v>
      </c>
      <c r="C973" s="118" t="s">
        <v>1226</v>
      </c>
      <c r="D973" s="94">
        <f>D974+D978</f>
        <v>146000</v>
      </c>
      <c r="E973" s="94">
        <f>E974+E978</f>
        <v>47880</v>
      </c>
      <c r="F973" s="95">
        <f t="shared" si="102"/>
        <v>98120</v>
      </c>
    </row>
    <row r="974" spans="1:6" ht="57.5" x14ac:dyDescent="0.3">
      <c r="A974" s="100" t="s">
        <v>1227</v>
      </c>
      <c r="B974" s="92" t="s">
        <v>386</v>
      </c>
      <c r="C974" s="118" t="s">
        <v>1228</v>
      </c>
      <c r="D974" s="94">
        <f t="shared" ref="D974:E976" si="122">D975</f>
        <v>50350</v>
      </c>
      <c r="E974" s="94">
        <f t="shared" si="122"/>
        <v>3230</v>
      </c>
      <c r="F974" s="95">
        <f t="shared" si="102"/>
        <v>47120</v>
      </c>
    </row>
    <row r="975" spans="1:6" s="55" customFormat="1" ht="23" x14ac:dyDescent="0.3">
      <c r="A975" s="101" t="s">
        <v>488</v>
      </c>
      <c r="B975" s="105" t="s">
        <v>386</v>
      </c>
      <c r="C975" s="102" t="s">
        <v>1229</v>
      </c>
      <c r="D975" s="103">
        <f t="shared" si="122"/>
        <v>50350</v>
      </c>
      <c r="E975" s="103">
        <f t="shared" si="122"/>
        <v>3230</v>
      </c>
      <c r="F975" s="95">
        <f t="shared" si="102"/>
        <v>47120</v>
      </c>
    </row>
    <row r="976" spans="1:6" s="55" customFormat="1" ht="34.5" x14ac:dyDescent="0.3">
      <c r="A976" s="101" t="s">
        <v>394</v>
      </c>
      <c r="B976" s="105" t="s">
        <v>386</v>
      </c>
      <c r="C976" s="102" t="s">
        <v>1230</v>
      </c>
      <c r="D976" s="103">
        <f t="shared" si="122"/>
        <v>50350</v>
      </c>
      <c r="E976" s="103">
        <f t="shared" si="122"/>
        <v>3230</v>
      </c>
      <c r="F976" s="104">
        <f t="shared" si="102"/>
        <v>47120</v>
      </c>
    </row>
    <row r="977" spans="1:6" s="55" customFormat="1" ht="13" x14ac:dyDescent="0.3">
      <c r="A977" s="101" t="s">
        <v>396</v>
      </c>
      <c r="B977" s="105" t="s">
        <v>386</v>
      </c>
      <c r="C977" s="102" t="s">
        <v>1231</v>
      </c>
      <c r="D977" s="103">
        <v>50350</v>
      </c>
      <c r="E977" s="103">
        <v>3230</v>
      </c>
      <c r="F977" s="104">
        <f t="shared" si="102"/>
        <v>47120</v>
      </c>
    </row>
    <row r="978" spans="1:6" s="55" customFormat="1" ht="80.5" x14ac:dyDescent="0.3">
      <c r="A978" s="100" t="s">
        <v>1232</v>
      </c>
      <c r="B978" s="92" t="s">
        <v>386</v>
      </c>
      <c r="C978" s="118" t="s">
        <v>1233</v>
      </c>
      <c r="D978" s="94">
        <f t="shared" ref="D978:E980" si="123">D979</f>
        <v>95650</v>
      </c>
      <c r="E978" s="94">
        <f t="shared" si="123"/>
        <v>44650</v>
      </c>
      <c r="F978" s="95">
        <f t="shared" si="102"/>
        <v>51000</v>
      </c>
    </row>
    <row r="979" spans="1:6" s="55" customFormat="1" ht="34.5" x14ac:dyDescent="0.3">
      <c r="A979" s="101" t="s">
        <v>922</v>
      </c>
      <c r="B979" s="105" t="s">
        <v>386</v>
      </c>
      <c r="C979" s="102" t="s">
        <v>1234</v>
      </c>
      <c r="D979" s="103">
        <f t="shared" si="123"/>
        <v>95650</v>
      </c>
      <c r="E979" s="103">
        <f t="shared" si="123"/>
        <v>44650</v>
      </c>
      <c r="F979" s="95">
        <f t="shared" si="102"/>
        <v>51000</v>
      </c>
    </row>
    <row r="980" spans="1:6" s="55" customFormat="1" ht="34.5" x14ac:dyDescent="0.3">
      <c r="A980" s="132" t="s">
        <v>394</v>
      </c>
      <c r="B980" s="105" t="s">
        <v>386</v>
      </c>
      <c r="C980" s="102" t="s">
        <v>1235</v>
      </c>
      <c r="D980" s="103">
        <f t="shared" si="123"/>
        <v>95650</v>
      </c>
      <c r="E980" s="103">
        <f t="shared" si="123"/>
        <v>44650</v>
      </c>
      <c r="F980" s="104">
        <f t="shared" si="102"/>
        <v>51000</v>
      </c>
    </row>
    <row r="981" spans="1:6" s="55" customFormat="1" ht="13" x14ac:dyDescent="0.3">
      <c r="A981" s="101" t="s">
        <v>396</v>
      </c>
      <c r="B981" s="105" t="s">
        <v>386</v>
      </c>
      <c r="C981" s="102" t="s">
        <v>1236</v>
      </c>
      <c r="D981" s="103">
        <f>D986+D990</f>
        <v>95650</v>
      </c>
      <c r="E981" s="103">
        <f>E986+E990</f>
        <v>44650</v>
      </c>
      <c r="F981" s="104">
        <f t="shared" si="102"/>
        <v>51000</v>
      </c>
    </row>
    <row r="982" spans="1:6" s="55" customFormat="1" ht="13" x14ac:dyDescent="0.3">
      <c r="A982" s="98" t="s">
        <v>121</v>
      </c>
      <c r="B982" s="105"/>
      <c r="C982" s="102"/>
      <c r="D982" s="103"/>
      <c r="E982" s="103"/>
      <c r="F982" s="104"/>
    </row>
    <row r="983" spans="1:6" s="55" customFormat="1" ht="13.5" x14ac:dyDescent="0.3">
      <c r="A983" s="108" t="s">
        <v>410</v>
      </c>
      <c r="B983" s="92" t="s">
        <v>386</v>
      </c>
      <c r="C983" s="118" t="s">
        <v>1233</v>
      </c>
      <c r="D983" s="94">
        <f t="shared" ref="D983:E989" si="124">D984</f>
        <v>29650</v>
      </c>
      <c r="E983" s="94">
        <f t="shared" si="124"/>
        <v>29650</v>
      </c>
      <c r="F983" s="95">
        <f t="shared" ref="F983:F990" si="125">D983-E983</f>
        <v>0</v>
      </c>
    </row>
    <row r="984" spans="1:6" s="55" customFormat="1" ht="34.5" x14ac:dyDescent="0.3">
      <c r="A984" s="101" t="s">
        <v>922</v>
      </c>
      <c r="B984" s="105" t="s">
        <v>386</v>
      </c>
      <c r="C984" s="102" t="s">
        <v>1234</v>
      </c>
      <c r="D984" s="103">
        <f t="shared" si="124"/>
        <v>29650</v>
      </c>
      <c r="E984" s="103">
        <f t="shared" si="124"/>
        <v>29650</v>
      </c>
      <c r="F984" s="95">
        <f t="shared" si="125"/>
        <v>0</v>
      </c>
    </row>
    <row r="985" spans="1:6" s="55" customFormat="1" ht="34.5" x14ac:dyDescent="0.3">
      <c r="A985" s="132" t="s">
        <v>394</v>
      </c>
      <c r="B985" s="105" t="s">
        <v>386</v>
      </c>
      <c r="C985" s="102" t="s">
        <v>1235</v>
      </c>
      <c r="D985" s="103">
        <f t="shared" si="124"/>
        <v>29650</v>
      </c>
      <c r="E985" s="103">
        <f t="shared" si="124"/>
        <v>29650</v>
      </c>
      <c r="F985" s="104">
        <f t="shared" si="125"/>
        <v>0</v>
      </c>
    </row>
    <row r="986" spans="1:6" s="55" customFormat="1" ht="13" x14ac:dyDescent="0.3">
      <c r="A986" s="101" t="s">
        <v>396</v>
      </c>
      <c r="B986" s="105" t="s">
        <v>386</v>
      </c>
      <c r="C986" s="102" t="s">
        <v>1236</v>
      </c>
      <c r="D986" s="103">
        <v>29650</v>
      </c>
      <c r="E986" s="103">
        <v>29650</v>
      </c>
      <c r="F986" s="104">
        <f t="shared" si="125"/>
        <v>0</v>
      </c>
    </row>
    <row r="987" spans="1:6" s="55" customFormat="1" ht="13.5" x14ac:dyDescent="0.3">
      <c r="A987" s="108" t="s">
        <v>411</v>
      </c>
      <c r="B987" s="92" t="s">
        <v>386</v>
      </c>
      <c r="C987" s="118" t="s">
        <v>1233</v>
      </c>
      <c r="D987" s="94">
        <f t="shared" si="124"/>
        <v>66000</v>
      </c>
      <c r="E987" s="94">
        <f t="shared" si="124"/>
        <v>15000</v>
      </c>
      <c r="F987" s="95">
        <f t="shared" si="125"/>
        <v>51000</v>
      </c>
    </row>
    <row r="988" spans="1:6" s="55" customFormat="1" ht="34.5" x14ac:dyDescent="0.3">
      <c r="A988" s="101" t="s">
        <v>922</v>
      </c>
      <c r="B988" s="105" t="s">
        <v>386</v>
      </c>
      <c r="C988" s="102" t="s">
        <v>1234</v>
      </c>
      <c r="D988" s="103">
        <f t="shared" si="124"/>
        <v>66000</v>
      </c>
      <c r="E988" s="103">
        <f t="shared" si="124"/>
        <v>15000</v>
      </c>
      <c r="F988" s="95">
        <f t="shared" si="125"/>
        <v>51000</v>
      </c>
    </row>
    <row r="989" spans="1:6" s="55" customFormat="1" ht="34.5" x14ac:dyDescent="0.3">
      <c r="A989" s="132" t="s">
        <v>394</v>
      </c>
      <c r="B989" s="105" t="s">
        <v>386</v>
      </c>
      <c r="C989" s="102" t="s">
        <v>1235</v>
      </c>
      <c r="D989" s="103">
        <f t="shared" si="124"/>
        <v>66000</v>
      </c>
      <c r="E989" s="103">
        <f t="shared" si="124"/>
        <v>15000</v>
      </c>
      <c r="F989" s="104">
        <f t="shared" si="125"/>
        <v>51000</v>
      </c>
    </row>
    <row r="990" spans="1:6" s="55" customFormat="1" ht="13" x14ac:dyDescent="0.3">
      <c r="A990" s="101" t="s">
        <v>396</v>
      </c>
      <c r="B990" s="105" t="s">
        <v>386</v>
      </c>
      <c r="C990" s="102" t="s">
        <v>1236</v>
      </c>
      <c r="D990" s="103">
        <v>66000</v>
      </c>
      <c r="E990" s="103">
        <f>15000</f>
        <v>15000</v>
      </c>
      <c r="F990" s="104">
        <f t="shared" si="125"/>
        <v>51000</v>
      </c>
    </row>
    <row r="991" spans="1:6" ht="13" x14ac:dyDescent="0.3">
      <c r="A991" s="98" t="s">
        <v>1237</v>
      </c>
      <c r="B991" s="92" t="s">
        <v>386</v>
      </c>
      <c r="C991" s="118" t="s">
        <v>1238</v>
      </c>
      <c r="D991" s="94">
        <f>D992+D999</f>
        <v>782705.45</v>
      </c>
      <c r="E991" s="94">
        <f>E992+E999</f>
        <v>665256.28</v>
      </c>
      <c r="F991" s="95">
        <f t="shared" si="102"/>
        <v>117449.16999999993</v>
      </c>
    </row>
    <row r="992" spans="1:6" ht="13" x14ac:dyDescent="0.3">
      <c r="A992" s="98" t="s">
        <v>1239</v>
      </c>
      <c r="B992" s="92" t="s">
        <v>386</v>
      </c>
      <c r="C992" s="99" t="s">
        <v>1240</v>
      </c>
      <c r="D992" s="94">
        <f t="shared" ref="D992:E995" si="126">D993</f>
        <v>488120.73</v>
      </c>
      <c r="E992" s="94">
        <f t="shared" si="126"/>
        <v>370671.56</v>
      </c>
      <c r="F992" s="95">
        <f t="shared" si="102"/>
        <v>117449.16999999998</v>
      </c>
    </row>
    <row r="993" spans="1:6" ht="34.5" x14ac:dyDescent="0.3">
      <c r="A993" s="100" t="s">
        <v>1241</v>
      </c>
      <c r="B993" s="92" t="s">
        <v>386</v>
      </c>
      <c r="C993" s="99" t="s">
        <v>1242</v>
      </c>
      <c r="D993" s="94">
        <f>D994+D997</f>
        <v>488120.73</v>
      </c>
      <c r="E993" s="94">
        <f>E994+E997</f>
        <v>370671.56</v>
      </c>
      <c r="F993" s="95">
        <f t="shared" si="102"/>
        <v>117449.16999999998</v>
      </c>
    </row>
    <row r="994" spans="1:6" ht="23" x14ac:dyDescent="0.25">
      <c r="A994" s="101" t="s">
        <v>488</v>
      </c>
      <c r="B994" s="105" t="s">
        <v>386</v>
      </c>
      <c r="C994" s="102" t="s">
        <v>1243</v>
      </c>
      <c r="D994" s="103">
        <f t="shared" si="126"/>
        <v>458120.73</v>
      </c>
      <c r="E994" s="103">
        <f t="shared" si="126"/>
        <v>347171.56</v>
      </c>
      <c r="F994" s="104">
        <f t="shared" si="102"/>
        <v>110949.16999999998</v>
      </c>
    </row>
    <row r="995" spans="1:6" ht="34.5" x14ac:dyDescent="0.25">
      <c r="A995" s="101" t="s">
        <v>394</v>
      </c>
      <c r="B995" s="105" t="s">
        <v>386</v>
      </c>
      <c r="C995" s="102" t="s">
        <v>1244</v>
      </c>
      <c r="D995" s="103">
        <f t="shared" si="126"/>
        <v>458120.73</v>
      </c>
      <c r="E995" s="103">
        <f t="shared" si="126"/>
        <v>347171.56</v>
      </c>
      <c r="F995" s="104">
        <f t="shared" si="102"/>
        <v>110949.16999999998</v>
      </c>
    </row>
    <row r="996" spans="1:6" s="55" customFormat="1" ht="13" x14ac:dyDescent="0.3">
      <c r="A996" s="101" t="s">
        <v>396</v>
      </c>
      <c r="B996" s="105" t="s">
        <v>386</v>
      </c>
      <c r="C996" s="102" t="s">
        <v>1245</v>
      </c>
      <c r="D996" s="103">
        <v>458120.73</v>
      </c>
      <c r="E996" s="103">
        <v>347171.56</v>
      </c>
      <c r="F996" s="104">
        <f t="shared" si="102"/>
        <v>110949.16999999998</v>
      </c>
    </row>
    <row r="997" spans="1:6" s="55" customFormat="1" ht="23" x14ac:dyDescent="0.3">
      <c r="A997" s="101" t="s">
        <v>783</v>
      </c>
      <c r="B997" s="105" t="s">
        <v>386</v>
      </c>
      <c r="C997" s="102" t="s">
        <v>1246</v>
      </c>
      <c r="D997" s="103">
        <f>D998</f>
        <v>30000</v>
      </c>
      <c r="E997" s="103">
        <f>E998</f>
        <v>23500</v>
      </c>
      <c r="F997" s="104">
        <f t="shared" si="102"/>
        <v>6500</v>
      </c>
    </row>
    <row r="998" spans="1:6" s="55" customFormat="1" ht="18.5" customHeight="1" x14ac:dyDescent="0.3">
      <c r="A998" s="101" t="s">
        <v>711</v>
      </c>
      <c r="B998" s="105" t="s">
        <v>386</v>
      </c>
      <c r="C998" s="102" t="s">
        <v>1247</v>
      </c>
      <c r="D998" s="103">
        <v>30000</v>
      </c>
      <c r="E998" s="103">
        <v>23500</v>
      </c>
      <c r="F998" s="104">
        <f t="shared" si="102"/>
        <v>6500</v>
      </c>
    </row>
    <row r="999" spans="1:6" s="55" customFormat="1" ht="39" customHeight="1" x14ac:dyDescent="0.3">
      <c r="A999" s="98" t="s">
        <v>1248</v>
      </c>
      <c r="B999" s="92" t="s">
        <v>386</v>
      </c>
      <c r="C999" s="99" t="s">
        <v>1249</v>
      </c>
      <c r="D999" s="94">
        <f t="shared" ref="D999:E1001" si="127">D1000</f>
        <v>294584.71999999997</v>
      </c>
      <c r="E999" s="94">
        <f t="shared" si="127"/>
        <v>294584.71999999997</v>
      </c>
      <c r="F999" s="95">
        <f t="shared" si="102"/>
        <v>0</v>
      </c>
    </row>
    <row r="1000" spans="1:6" s="55" customFormat="1" ht="59" customHeight="1" x14ac:dyDescent="0.3">
      <c r="A1000" s="100" t="s">
        <v>1250</v>
      </c>
      <c r="B1000" s="92" t="s">
        <v>386</v>
      </c>
      <c r="C1000" s="99" t="s">
        <v>1251</v>
      </c>
      <c r="D1000" s="94">
        <f t="shared" si="127"/>
        <v>294584.71999999997</v>
      </c>
      <c r="E1000" s="94">
        <f t="shared" si="127"/>
        <v>294584.71999999997</v>
      </c>
      <c r="F1000" s="95">
        <f t="shared" si="102"/>
        <v>0</v>
      </c>
    </row>
    <row r="1001" spans="1:6" s="55" customFormat="1" ht="23" x14ac:dyDescent="0.3">
      <c r="A1001" s="101" t="s">
        <v>783</v>
      </c>
      <c r="B1001" s="105" t="s">
        <v>386</v>
      </c>
      <c r="C1001" s="102" t="s">
        <v>1252</v>
      </c>
      <c r="D1001" s="103">
        <f t="shared" si="127"/>
        <v>294584.71999999997</v>
      </c>
      <c r="E1001" s="103">
        <f t="shared" si="127"/>
        <v>294584.71999999997</v>
      </c>
      <c r="F1001" s="104">
        <f t="shared" ref="F1001:F1019" si="128">D1001-E1001</f>
        <v>0</v>
      </c>
    </row>
    <row r="1002" spans="1:6" s="55" customFormat="1" ht="17.5" customHeight="1" x14ac:dyDescent="0.3">
      <c r="A1002" s="101" t="s">
        <v>711</v>
      </c>
      <c r="B1002" s="105" t="s">
        <v>386</v>
      </c>
      <c r="C1002" s="102" t="s">
        <v>1253</v>
      </c>
      <c r="D1002" s="103">
        <v>294584.71999999997</v>
      </c>
      <c r="E1002" s="103">
        <v>294584.71999999997</v>
      </c>
      <c r="F1002" s="104">
        <f t="shared" si="128"/>
        <v>0</v>
      </c>
    </row>
    <row r="1003" spans="1:6" s="55" customFormat="1" ht="13" x14ac:dyDescent="0.3">
      <c r="A1003" s="134" t="s">
        <v>1254</v>
      </c>
      <c r="B1003" s="92" t="s">
        <v>386</v>
      </c>
      <c r="C1003" s="118" t="s">
        <v>1255</v>
      </c>
      <c r="D1003" s="94">
        <f>D1010+D1004</f>
        <v>11575250</v>
      </c>
      <c r="E1003" s="94">
        <f>E1010+E1004</f>
        <v>11423595.82</v>
      </c>
      <c r="F1003" s="95">
        <f t="shared" si="128"/>
        <v>151654.1799999997</v>
      </c>
    </row>
    <row r="1004" spans="1:6" s="55" customFormat="1" ht="13" x14ac:dyDescent="0.3">
      <c r="A1004" s="135" t="s">
        <v>1256</v>
      </c>
      <c r="B1004" s="92" t="s">
        <v>386</v>
      </c>
      <c r="C1004" s="118" t="s">
        <v>1257</v>
      </c>
      <c r="D1004" s="94">
        <f>D1005</f>
        <v>1700000</v>
      </c>
      <c r="E1004" s="94">
        <f>E1005</f>
        <v>1548345.82</v>
      </c>
      <c r="F1004" s="95">
        <f t="shared" si="128"/>
        <v>151654.17999999993</v>
      </c>
    </row>
    <row r="1005" spans="1:6" s="55" customFormat="1" ht="23" x14ac:dyDescent="0.3">
      <c r="A1005" s="100" t="s">
        <v>1258</v>
      </c>
      <c r="B1005" s="92" t="s">
        <v>386</v>
      </c>
      <c r="C1005" s="99" t="s">
        <v>1259</v>
      </c>
      <c r="D1005" s="94">
        <f>D1006</f>
        <v>1700000</v>
      </c>
      <c r="E1005" s="94">
        <f>E1006</f>
        <v>1548345.82</v>
      </c>
      <c r="F1005" s="95">
        <f>D1005-E1005</f>
        <v>151654.17999999993</v>
      </c>
    </row>
    <row r="1006" spans="1:6" s="55" customFormat="1" ht="57.5" x14ac:dyDescent="0.3">
      <c r="A1006" s="100" t="s">
        <v>1260</v>
      </c>
      <c r="B1006" s="92" t="s">
        <v>386</v>
      </c>
      <c r="C1006" s="99" t="s">
        <v>1261</v>
      </c>
      <c r="D1006" s="94">
        <f t="shared" ref="D1006:E1008" si="129">D1007</f>
        <v>1700000</v>
      </c>
      <c r="E1006" s="94">
        <f t="shared" si="129"/>
        <v>1548345.82</v>
      </c>
      <c r="F1006" s="95">
        <f t="shared" si="128"/>
        <v>151654.17999999993</v>
      </c>
    </row>
    <row r="1007" spans="1:6" s="55" customFormat="1" ht="23" x14ac:dyDescent="0.3">
      <c r="A1007" s="101" t="s">
        <v>783</v>
      </c>
      <c r="B1007" s="105" t="s">
        <v>386</v>
      </c>
      <c r="C1007" s="102" t="s">
        <v>1262</v>
      </c>
      <c r="D1007" s="103">
        <f t="shared" si="129"/>
        <v>1700000</v>
      </c>
      <c r="E1007" s="103">
        <f t="shared" si="129"/>
        <v>1548345.82</v>
      </c>
      <c r="F1007" s="104">
        <f t="shared" si="128"/>
        <v>151654.17999999993</v>
      </c>
    </row>
    <row r="1008" spans="1:6" s="55" customFormat="1" ht="26.5" customHeight="1" x14ac:dyDescent="0.3">
      <c r="A1008" s="101" t="s">
        <v>573</v>
      </c>
      <c r="B1008" s="105" t="s">
        <v>386</v>
      </c>
      <c r="C1008" s="102" t="s">
        <v>1263</v>
      </c>
      <c r="D1008" s="103">
        <f t="shared" si="129"/>
        <v>1700000</v>
      </c>
      <c r="E1008" s="103">
        <f t="shared" si="129"/>
        <v>1548345.82</v>
      </c>
      <c r="F1008" s="104">
        <f t="shared" si="128"/>
        <v>151654.17999999993</v>
      </c>
    </row>
    <row r="1009" spans="1:6" s="55" customFormat="1" ht="35.5" customHeight="1" x14ac:dyDescent="0.3">
      <c r="A1009" s="101" t="s">
        <v>575</v>
      </c>
      <c r="B1009" s="105" t="s">
        <v>386</v>
      </c>
      <c r="C1009" s="102" t="s">
        <v>1264</v>
      </c>
      <c r="D1009" s="103">
        <v>1700000</v>
      </c>
      <c r="E1009" s="103">
        <v>1548345.82</v>
      </c>
      <c r="F1009" s="104">
        <f t="shared" si="128"/>
        <v>151654.17999999993</v>
      </c>
    </row>
    <row r="1010" spans="1:6" s="55" customFormat="1" ht="13" x14ac:dyDescent="0.3">
      <c r="A1010" s="136" t="s">
        <v>1265</v>
      </c>
      <c r="B1010" s="92" t="s">
        <v>386</v>
      </c>
      <c r="C1010" s="118" t="s">
        <v>1266</v>
      </c>
      <c r="D1010" s="94">
        <f t="shared" ref="D1010:E1014" si="130">D1011</f>
        <v>9875250</v>
      </c>
      <c r="E1010" s="94">
        <f t="shared" si="130"/>
        <v>9875250</v>
      </c>
      <c r="F1010" s="95">
        <f t="shared" si="128"/>
        <v>0</v>
      </c>
    </row>
    <row r="1011" spans="1:6" s="55" customFormat="1" ht="26" x14ac:dyDescent="0.3">
      <c r="A1011" s="98" t="s">
        <v>1267</v>
      </c>
      <c r="B1011" s="92" t="s">
        <v>386</v>
      </c>
      <c r="C1011" s="99" t="s">
        <v>1268</v>
      </c>
      <c r="D1011" s="94">
        <f>D1012+D1016</f>
        <v>9875250</v>
      </c>
      <c r="E1011" s="94">
        <f>E1012+E1016</f>
        <v>9875250</v>
      </c>
      <c r="F1011" s="95">
        <f t="shared" si="128"/>
        <v>0</v>
      </c>
    </row>
    <row r="1012" spans="1:6" s="55" customFormat="1" ht="80.5" hidden="1" x14ac:dyDescent="0.3">
      <c r="A1012" s="100" t="s">
        <v>1269</v>
      </c>
      <c r="B1012" s="92" t="s">
        <v>386</v>
      </c>
      <c r="C1012" s="99" t="s">
        <v>1270</v>
      </c>
      <c r="D1012" s="94">
        <f t="shared" si="130"/>
        <v>0</v>
      </c>
      <c r="E1012" s="94">
        <f t="shared" si="130"/>
        <v>0</v>
      </c>
      <c r="F1012" s="95">
        <f t="shared" si="128"/>
        <v>0</v>
      </c>
    </row>
    <row r="1013" spans="1:6" s="55" customFormat="1" ht="23" hidden="1" x14ac:dyDescent="0.3">
      <c r="A1013" s="101" t="s">
        <v>783</v>
      </c>
      <c r="B1013" s="105" t="s">
        <v>386</v>
      </c>
      <c r="C1013" s="102" t="s">
        <v>1271</v>
      </c>
      <c r="D1013" s="103">
        <f t="shared" si="130"/>
        <v>0</v>
      </c>
      <c r="E1013" s="103">
        <f t="shared" si="130"/>
        <v>0</v>
      </c>
      <c r="F1013" s="104">
        <f t="shared" si="128"/>
        <v>0</v>
      </c>
    </row>
    <row r="1014" spans="1:6" s="55" customFormat="1" ht="34.5" hidden="1" x14ac:dyDescent="0.3">
      <c r="A1014" s="101" t="s">
        <v>573</v>
      </c>
      <c r="B1014" s="105" t="s">
        <v>386</v>
      </c>
      <c r="C1014" s="102" t="s">
        <v>1272</v>
      </c>
      <c r="D1014" s="103">
        <f t="shared" si="130"/>
        <v>0</v>
      </c>
      <c r="E1014" s="103">
        <f t="shared" si="130"/>
        <v>0</v>
      </c>
      <c r="F1014" s="104">
        <f t="shared" si="128"/>
        <v>0</v>
      </c>
    </row>
    <row r="1015" spans="1:6" s="55" customFormat="1" ht="23" hidden="1" x14ac:dyDescent="0.3">
      <c r="A1015" s="101" t="s">
        <v>1273</v>
      </c>
      <c r="B1015" s="105" t="s">
        <v>386</v>
      </c>
      <c r="C1015" s="102" t="s">
        <v>1274</v>
      </c>
      <c r="D1015" s="103"/>
      <c r="E1015" s="103"/>
      <c r="F1015" s="104">
        <f t="shared" si="128"/>
        <v>0</v>
      </c>
    </row>
    <row r="1016" spans="1:6" s="55" customFormat="1" ht="72.5" customHeight="1" x14ac:dyDescent="0.3">
      <c r="A1016" s="100" t="s">
        <v>1275</v>
      </c>
      <c r="B1016" s="92" t="s">
        <v>386</v>
      </c>
      <c r="C1016" s="99" t="s">
        <v>1276</v>
      </c>
      <c r="D1016" s="94">
        <f t="shared" ref="D1016:E1026" si="131">D1017</f>
        <v>9875250</v>
      </c>
      <c r="E1016" s="94">
        <f t="shared" si="131"/>
        <v>9875250</v>
      </c>
      <c r="F1016" s="95">
        <f t="shared" si="128"/>
        <v>0</v>
      </c>
    </row>
    <row r="1017" spans="1:6" s="55" customFormat="1" ht="23" x14ac:dyDescent="0.3">
      <c r="A1017" s="101" t="s">
        <v>783</v>
      </c>
      <c r="B1017" s="105" t="s">
        <v>386</v>
      </c>
      <c r="C1017" s="102" t="s">
        <v>1277</v>
      </c>
      <c r="D1017" s="103">
        <f t="shared" si="131"/>
        <v>9875250</v>
      </c>
      <c r="E1017" s="103">
        <f t="shared" si="131"/>
        <v>9875250</v>
      </c>
      <c r="F1017" s="104">
        <f t="shared" si="128"/>
        <v>0</v>
      </c>
    </row>
    <row r="1018" spans="1:6" s="55" customFormat="1" ht="28" customHeight="1" x14ac:dyDescent="0.3">
      <c r="A1018" s="101" t="s">
        <v>573</v>
      </c>
      <c r="B1018" s="105" t="s">
        <v>386</v>
      </c>
      <c r="C1018" s="102" t="s">
        <v>1278</v>
      </c>
      <c r="D1018" s="103">
        <f t="shared" si="131"/>
        <v>9875250</v>
      </c>
      <c r="E1018" s="103">
        <f t="shared" si="131"/>
        <v>9875250</v>
      </c>
      <c r="F1018" s="104">
        <f t="shared" si="128"/>
        <v>0</v>
      </c>
    </row>
    <row r="1019" spans="1:6" s="55" customFormat="1" ht="16.5" customHeight="1" x14ac:dyDescent="0.3">
      <c r="A1019" s="101" t="s">
        <v>1273</v>
      </c>
      <c r="B1019" s="105" t="s">
        <v>386</v>
      </c>
      <c r="C1019" s="102" t="s">
        <v>1279</v>
      </c>
      <c r="D1019" s="103">
        <f>D1024+D1028</f>
        <v>9875250</v>
      </c>
      <c r="E1019" s="103">
        <f>E1024+E1028</f>
        <v>9875250</v>
      </c>
      <c r="F1019" s="104">
        <f t="shared" si="128"/>
        <v>0</v>
      </c>
    </row>
    <row r="1020" spans="1:6" s="55" customFormat="1" ht="13" x14ac:dyDescent="0.3">
      <c r="A1020" s="98" t="s">
        <v>121</v>
      </c>
      <c r="B1020" s="105"/>
      <c r="C1020" s="102"/>
      <c r="D1020" s="103"/>
      <c r="E1020" s="103"/>
      <c r="F1020" s="104"/>
    </row>
    <row r="1021" spans="1:6" s="55" customFormat="1" ht="13.5" x14ac:dyDescent="0.3">
      <c r="A1021" s="108" t="s">
        <v>410</v>
      </c>
      <c r="B1021" s="92" t="s">
        <v>386</v>
      </c>
      <c r="C1021" s="99" t="s">
        <v>1276</v>
      </c>
      <c r="D1021" s="94">
        <f t="shared" si="131"/>
        <v>1000000</v>
      </c>
      <c r="E1021" s="94">
        <f t="shared" si="131"/>
        <v>1000000</v>
      </c>
      <c r="F1021" s="95">
        <f>D1021-E1021</f>
        <v>0</v>
      </c>
    </row>
    <row r="1022" spans="1:6" s="55" customFormat="1" ht="23" x14ac:dyDescent="0.3">
      <c r="A1022" s="101" t="s">
        <v>783</v>
      </c>
      <c r="B1022" s="105" t="s">
        <v>386</v>
      </c>
      <c r="C1022" s="102" t="s">
        <v>1277</v>
      </c>
      <c r="D1022" s="103">
        <f t="shared" si="131"/>
        <v>1000000</v>
      </c>
      <c r="E1022" s="103">
        <f t="shared" si="131"/>
        <v>1000000</v>
      </c>
      <c r="F1022" s="104">
        <f>D1022-E1022</f>
        <v>0</v>
      </c>
    </row>
    <row r="1023" spans="1:6" s="55" customFormat="1" ht="29" customHeight="1" x14ac:dyDescent="0.3">
      <c r="A1023" s="101" t="s">
        <v>573</v>
      </c>
      <c r="B1023" s="105" t="s">
        <v>386</v>
      </c>
      <c r="C1023" s="102" t="s">
        <v>1278</v>
      </c>
      <c r="D1023" s="103">
        <f t="shared" si="131"/>
        <v>1000000</v>
      </c>
      <c r="E1023" s="103">
        <f t="shared" si="131"/>
        <v>1000000</v>
      </c>
      <c r="F1023" s="104">
        <f>D1023-E1023</f>
        <v>0</v>
      </c>
    </row>
    <row r="1024" spans="1:6" s="55" customFormat="1" ht="18" customHeight="1" x14ac:dyDescent="0.3">
      <c r="A1024" s="101" t="s">
        <v>1273</v>
      </c>
      <c r="B1024" s="105" t="s">
        <v>386</v>
      </c>
      <c r="C1024" s="102" t="s">
        <v>1279</v>
      </c>
      <c r="D1024" s="103">
        <v>1000000</v>
      </c>
      <c r="E1024" s="103">
        <v>1000000</v>
      </c>
      <c r="F1024" s="104">
        <f>D1024-E1024</f>
        <v>0</v>
      </c>
    </row>
    <row r="1025" spans="1:6" ht="27" x14ac:dyDescent="0.3">
      <c r="A1025" s="108" t="s">
        <v>951</v>
      </c>
      <c r="B1025" s="92" t="s">
        <v>386</v>
      </c>
      <c r="C1025" s="99" t="s">
        <v>1280</v>
      </c>
      <c r="D1025" s="94">
        <f t="shared" si="131"/>
        <v>8875250</v>
      </c>
      <c r="E1025" s="94">
        <f t="shared" si="131"/>
        <v>8875250</v>
      </c>
      <c r="F1025" s="95">
        <f t="shared" ref="F1025:F1047" si="132">D1025-E1025</f>
        <v>0</v>
      </c>
    </row>
    <row r="1026" spans="1:6" ht="23" x14ac:dyDescent="0.25">
      <c r="A1026" s="101" t="s">
        <v>783</v>
      </c>
      <c r="B1026" s="105" t="s">
        <v>386</v>
      </c>
      <c r="C1026" s="102" t="s">
        <v>1281</v>
      </c>
      <c r="D1026" s="103">
        <f t="shared" si="131"/>
        <v>8875250</v>
      </c>
      <c r="E1026" s="103">
        <f t="shared" si="131"/>
        <v>8875250</v>
      </c>
      <c r="F1026" s="104">
        <f t="shared" si="132"/>
        <v>0</v>
      </c>
    </row>
    <row r="1027" spans="1:6" ht="34.5" x14ac:dyDescent="0.25">
      <c r="A1027" s="101" t="s">
        <v>573</v>
      </c>
      <c r="B1027" s="105" t="s">
        <v>386</v>
      </c>
      <c r="C1027" s="102" t="s">
        <v>1282</v>
      </c>
      <c r="D1027" s="103">
        <f>D1028</f>
        <v>8875250</v>
      </c>
      <c r="E1027" s="103">
        <f>E1028</f>
        <v>8875250</v>
      </c>
      <c r="F1027" s="104">
        <f t="shared" si="132"/>
        <v>0</v>
      </c>
    </row>
    <row r="1028" spans="1:6" ht="18" customHeight="1" x14ac:dyDescent="0.25">
      <c r="A1028" s="101" t="s">
        <v>1273</v>
      </c>
      <c r="B1028" s="105" t="s">
        <v>386</v>
      </c>
      <c r="C1028" s="102" t="s">
        <v>1283</v>
      </c>
      <c r="D1028" s="103">
        <v>8875250</v>
      </c>
      <c r="E1028" s="103">
        <v>8875250</v>
      </c>
      <c r="F1028" s="104">
        <f t="shared" si="132"/>
        <v>0</v>
      </c>
    </row>
    <row r="1029" spans="1:6" ht="26" x14ac:dyDescent="0.3">
      <c r="A1029" s="98" t="s">
        <v>1284</v>
      </c>
      <c r="B1029" s="92" t="s">
        <v>386</v>
      </c>
      <c r="C1029" s="118" t="s">
        <v>1285</v>
      </c>
      <c r="D1029" s="94">
        <f t="shared" ref="D1029:E1031" si="133">D1030</f>
        <v>1841352</v>
      </c>
      <c r="E1029" s="94">
        <f t="shared" si="133"/>
        <v>1121631.1600000001</v>
      </c>
      <c r="F1029" s="95">
        <f t="shared" si="132"/>
        <v>719720.83999999985</v>
      </c>
    </row>
    <row r="1030" spans="1:6" ht="13" x14ac:dyDescent="0.3">
      <c r="A1030" s="98" t="s">
        <v>1286</v>
      </c>
      <c r="B1030" s="92" t="s">
        <v>386</v>
      </c>
      <c r="C1030" s="118" t="s">
        <v>1287</v>
      </c>
      <c r="D1030" s="94">
        <f t="shared" si="133"/>
        <v>1841352</v>
      </c>
      <c r="E1030" s="94">
        <f t="shared" si="133"/>
        <v>1121631.1600000001</v>
      </c>
      <c r="F1030" s="95">
        <f t="shared" si="132"/>
        <v>719720.83999999985</v>
      </c>
    </row>
    <row r="1031" spans="1:6" ht="26" x14ac:dyDescent="0.3">
      <c r="A1031" s="98" t="s">
        <v>1288</v>
      </c>
      <c r="B1031" s="92" t="s">
        <v>386</v>
      </c>
      <c r="C1031" s="99" t="s">
        <v>1289</v>
      </c>
      <c r="D1031" s="94">
        <f t="shared" si="133"/>
        <v>1841352</v>
      </c>
      <c r="E1031" s="94">
        <f t="shared" si="133"/>
        <v>1121631.1600000001</v>
      </c>
      <c r="F1031" s="95">
        <f t="shared" si="132"/>
        <v>719720.83999999985</v>
      </c>
    </row>
    <row r="1032" spans="1:6" ht="46" x14ac:dyDescent="0.3">
      <c r="A1032" s="100" t="s">
        <v>1290</v>
      </c>
      <c r="B1032" s="92" t="s">
        <v>386</v>
      </c>
      <c r="C1032" s="99" t="s">
        <v>1291</v>
      </c>
      <c r="D1032" s="94">
        <f>D1036+D1039+D1033</f>
        <v>1841352</v>
      </c>
      <c r="E1032" s="94">
        <f>E1036+E1039+E1033</f>
        <v>1121631.1600000001</v>
      </c>
      <c r="F1032" s="95">
        <f t="shared" si="132"/>
        <v>719720.83999999985</v>
      </c>
    </row>
    <row r="1033" spans="1:6" ht="69" x14ac:dyDescent="0.25">
      <c r="A1033" s="101" t="s">
        <v>478</v>
      </c>
      <c r="B1033" s="105" t="s">
        <v>386</v>
      </c>
      <c r="C1033" s="102" t="s">
        <v>1292</v>
      </c>
      <c r="D1033" s="103">
        <f>D1034</f>
        <v>430000</v>
      </c>
      <c r="E1033" s="103">
        <f>E1034</f>
        <v>259880</v>
      </c>
      <c r="F1033" s="104">
        <f t="shared" si="132"/>
        <v>170120</v>
      </c>
    </row>
    <row r="1034" spans="1:6" ht="23" x14ac:dyDescent="0.25">
      <c r="A1034" s="101" t="s">
        <v>531</v>
      </c>
      <c r="B1034" s="105" t="s">
        <v>386</v>
      </c>
      <c r="C1034" s="102" t="s">
        <v>1293</v>
      </c>
      <c r="D1034" s="103">
        <f>SUM(D1035:D1035)</f>
        <v>430000</v>
      </c>
      <c r="E1034" s="103">
        <f>SUM(E1035:E1035)</f>
        <v>259880</v>
      </c>
      <c r="F1034" s="104">
        <f t="shared" si="132"/>
        <v>170120</v>
      </c>
    </row>
    <row r="1035" spans="1:6" ht="34.5" x14ac:dyDescent="0.25">
      <c r="A1035" s="101" t="s">
        <v>603</v>
      </c>
      <c r="B1035" s="105" t="s">
        <v>386</v>
      </c>
      <c r="C1035" s="102" t="s">
        <v>1294</v>
      </c>
      <c r="D1035" s="103">
        <v>430000</v>
      </c>
      <c r="E1035" s="103">
        <v>259880</v>
      </c>
      <c r="F1035" s="104">
        <f t="shared" si="132"/>
        <v>170120</v>
      </c>
    </row>
    <row r="1036" spans="1:6" ht="23" x14ac:dyDescent="0.25">
      <c r="A1036" s="101" t="s">
        <v>488</v>
      </c>
      <c r="B1036" s="105" t="s">
        <v>386</v>
      </c>
      <c r="C1036" s="102" t="s">
        <v>1295</v>
      </c>
      <c r="D1036" s="103">
        <f t="shared" ref="D1036:E1039" si="134">D1037</f>
        <v>1391352</v>
      </c>
      <c r="E1036" s="103">
        <f t="shared" si="134"/>
        <v>851251.16</v>
      </c>
      <c r="F1036" s="104">
        <f t="shared" si="132"/>
        <v>540100.84</v>
      </c>
    </row>
    <row r="1037" spans="1:6" s="55" customFormat="1" ht="34.5" x14ac:dyDescent="0.3">
      <c r="A1037" s="101" t="s">
        <v>394</v>
      </c>
      <c r="B1037" s="105" t="s">
        <v>386</v>
      </c>
      <c r="C1037" s="102" t="s">
        <v>1296</v>
      </c>
      <c r="D1037" s="103">
        <f t="shared" si="134"/>
        <v>1391352</v>
      </c>
      <c r="E1037" s="103">
        <f t="shared" si="134"/>
        <v>851251.16</v>
      </c>
      <c r="F1037" s="104">
        <f t="shared" si="132"/>
        <v>540100.84</v>
      </c>
    </row>
    <row r="1038" spans="1:6" x14ac:dyDescent="0.25">
      <c r="A1038" s="101" t="s">
        <v>396</v>
      </c>
      <c r="B1038" s="105" t="s">
        <v>386</v>
      </c>
      <c r="C1038" s="102" t="s">
        <v>1297</v>
      </c>
      <c r="D1038" s="103">
        <v>1391352</v>
      </c>
      <c r="E1038" s="103">
        <v>851251.16</v>
      </c>
      <c r="F1038" s="104">
        <f t="shared" si="132"/>
        <v>540100.84</v>
      </c>
    </row>
    <row r="1039" spans="1:6" s="55" customFormat="1" ht="23" x14ac:dyDescent="0.3">
      <c r="A1039" s="101" t="s">
        <v>783</v>
      </c>
      <c r="B1039" s="105" t="s">
        <v>386</v>
      </c>
      <c r="C1039" s="102" t="s">
        <v>1298</v>
      </c>
      <c r="D1039" s="103">
        <f t="shared" si="134"/>
        <v>20000</v>
      </c>
      <c r="E1039" s="103">
        <f t="shared" si="134"/>
        <v>10500</v>
      </c>
      <c r="F1039" s="104">
        <f t="shared" si="132"/>
        <v>9500</v>
      </c>
    </row>
    <row r="1040" spans="1:6" s="55" customFormat="1" ht="14" customHeight="1" x14ac:dyDescent="0.3">
      <c r="A1040" s="101" t="s">
        <v>711</v>
      </c>
      <c r="B1040" s="105" t="s">
        <v>386</v>
      </c>
      <c r="C1040" s="102" t="s">
        <v>1299</v>
      </c>
      <c r="D1040" s="103">
        <v>20000</v>
      </c>
      <c r="E1040" s="103">
        <v>10500</v>
      </c>
      <c r="F1040" s="104">
        <f t="shared" si="132"/>
        <v>9500</v>
      </c>
    </row>
    <row r="1041" spans="1:6" ht="26" x14ac:dyDescent="0.3">
      <c r="A1041" s="98" t="s">
        <v>1300</v>
      </c>
      <c r="B1041" s="92" t="s">
        <v>386</v>
      </c>
      <c r="C1041" s="118" t="s">
        <v>1301</v>
      </c>
      <c r="D1041" s="94">
        <f t="shared" ref="D1041:E1045" si="135">D1042</f>
        <v>3350000</v>
      </c>
      <c r="E1041" s="94">
        <f t="shared" si="135"/>
        <v>3350000</v>
      </c>
      <c r="F1041" s="95">
        <f t="shared" si="132"/>
        <v>0</v>
      </c>
    </row>
    <row r="1042" spans="1:6" ht="26" x14ac:dyDescent="0.3">
      <c r="A1042" s="98" t="s">
        <v>1302</v>
      </c>
      <c r="B1042" s="105" t="s">
        <v>386</v>
      </c>
      <c r="C1042" s="118" t="s">
        <v>1303</v>
      </c>
      <c r="D1042" s="94">
        <f t="shared" si="135"/>
        <v>3350000</v>
      </c>
      <c r="E1042" s="94">
        <f t="shared" si="135"/>
        <v>3350000</v>
      </c>
      <c r="F1042" s="95">
        <f t="shared" si="132"/>
        <v>0</v>
      </c>
    </row>
    <row r="1043" spans="1:6" ht="39" x14ac:dyDescent="0.3">
      <c r="A1043" s="98" t="s">
        <v>1304</v>
      </c>
      <c r="B1043" s="92" t="s">
        <v>386</v>
      </c>
      <c r="C1043" s="118" t="s">
        <v>1305</v>
      </c>
      <c r="D1043" s="94">
        <f>D1044</f>
        <v>3350000</v>
      </c>
      <c r="E1043" s="94">
        <f>E1044</f>
        <v>3350000</v>
      </c>
      <c r="F1043" s="95">
        <f t="shared" si="132"/>
        <v>0</v>
      </c>
    </row>
    <row r="1044" spans="1:6" ht="73.5" customHeight="1" x14ac:dyDescent="0.3">
      <c r="A1044" s="100" t="s">
        <v>1306</v>
      </c>
      <c r="B1044" s="92" t="s">
        <v>386</v>
      </c>
      <c r="C1044" s="118" t="s">
        <v>1307</v>
      </c>
      <c r="D1044" s="94">
        <f t="shared" si="135"/>
        <v>3350000</v>
      </c>
      <c r="E1044" s="94">
        <f t="shared" si="135"/>
        <v>3350000</v>
      </c>
      <c r="F1044" s="95">
        <f t="shared" si="132"/>
        <v>0</v>
      </c>
    </row>
    <row r="1045" spans="1:6" ht="34.5" x14ac:dyDescent="0.25">
      <c r="A1045" s="101" t="s">
        <v>400</v>
      </c>
      <c r="B1045" s="105" t="s">
        <v>386</v>
      </c>
      <c r="C1045" s="131" t="s">
        <v>1308</v>
      </c>
      <c r="D1045" s="103">
        <f t="shared" si="135"/>
        <v>3350000</v>
      </c>
      <c r="E1045" s="103">
        <f t="shared" si="135"/>
        <v>3350000</v>
      </c>
      <c r="F1045" s="104">
        <f t="shared" si="132"/>
        <v>0</v>
      </c>
    </row>
    <row r="1046" spans="1:6" x14ac:dyDescent="0.25">
      <c r="A1046" s="101" t="s">
        <v>1309</v>
      </c>
      <c r="B1046" s="105" t="s">
        <v>386</v>
      </c>
      <c r="C1046" s="131" t="s">
        <v>1310</v>
      </c>
      <c r="D1046" s="103">
        <f>D1047</f>
        <v>3350000</v>
      </c>
      <c r="E1046" s="103">
        <f>E1047</f>
        <v>3350000</v>
      </c>
      <c r="F1046" s="104">
        <f t="shared" si="132"/>
        <v>0</v>
      </c>
    </row>
    <row r="1047" spans="1:6" ht="58" thickBot="1" x14ac:dyDescent="0.3">
      <c r="A1047" s="137" t="s">
        <v>1311</v>
      </c>
      <c r="B1047" s="105" t="s">
        <v>386</v>
      </c>
      <c r="C1047" s="102" t="s">
        <v>1312</v>
      </c>
      <c r="D1047" s="103">
        <v>3350000</v>
      </c>
      <c r="E1047" s="103">
        <v>3350000</v>
      </c>
      <c r="F1047" s="104">
        <f t="shared" si="132"/>
        <v>0</v>
      </c>
    </row>
    <row r="1048" spans="1:6" ht="13.5" thickBot="1" x14ac:dyDescent="0.35">
      <c r="A1048" s="138"/>
      <c r="B1048" s="139"/>
      <c r="C1048" s="140"/>
      <c r="D1048" s="141"/>
      <c r="E1048" s="141"/>
      <c r="F1048" s="142"/>
    </row>
    <row r="1049" spans="1:6" ht="23.5" thickBot="1" x14ac:dyDescent="0.3">
      <c r="A1049" s="143" t="s">
        <v>1313</v>
      </c>
      <c r="B1049" s="144">
        <v>450</v>
      </c>
      <c r="C1049" s="145" t="s">
        <v>384</v>
      </c>
      <c r="D1049" s="146">
        <f>-D1059</f>
        <v>-44328708.670000166</v>
      </c>
      <c r="E1049" s="146">
        <f>E15-E209</f>
        <v>-27572477.290000081</v>
      </c>
      <c r="F1049" s="147" t="s">
        <v>384</v>
      </c>
    </row>
    <row r="1050" spans="1:6" ht="5.65" customHeight="1" x14ac:dyDescent="0.3">
      <c r="A1050" s="148"/>
      <c r="B1050" s="149"/>
      <c r="C1050" s="149"/>
      <c r="D1050" s="150"/>
      <c r="E1050" s="150"/>
    </row>
    <row r="1051" spans="1:6" ht="26" x14ac:dyDescent="0.3">
      <c r="A1051" s="151"/>
      <c r="B1051" s="152"/>
      <c r="C1051" s="153" t="s">
        <v>1314</v>
      </c>
      <c r="D1051" s="150">
        <f>D1047</f>
        <v>3350000</v>
      </c>
      <c r="E1051" s="150">
        <f>E1047</f>
        <v>3350000</v>
      </c>
    </row>
    <row r="1052" spans="1:6" ht="13" x14ac:dyDescent="0.3">
      <c r="A1052" s="151"/>
      <c r="B1052" s="152"/>
      <c r="C1052" s="152" t="s">
        <v>1315</v>
      </c>
      <c r="D1052" s="150">
        <f>D422+D435+D438+D527+D582+D797+D801+D852+D856+D970</f>
        <v>500000</v>
      </c>
      <c r="E1052" s="150">
        <f>E422+E435+E438+E527+E582+E797+E801+E852+E856+E970</f>
        <v>471729.33999999997</v>
      </c>
      <c r="F1052" s="150"/>
    </row>
    <row r="1053" spans="1:6" ht="13" x14ac:dyDescent="0.3">
      <c r="A1053" s="151"/>
      <c r="B1053" s="152"/>
      <c r="C1053" s="154" t="s">
        <v>1316</v>
      </c>
      <c r="D1053" s="150">
        <f>D213+D234+D255+D268+D281+D303+D378+D440+D445+D479+D485+D530+D536+D587+D611+D618+D641+D647+D666+D692+D710+D725+D753+D773+D803+D812+D821+D839+D858+D867+D888+D893+D953+D973+D992+D999+D1005+D1011+D1031+D1043</f>
        <v>543484992.48000002</v>
      </c>
      <c r="E1053" s="150">
        <f>E213+E234+E255+E268+E281+E303+E378+E440+E445+E479+E485+E530+E536+E587+E611+E618+E641+E647+E666+E692+E710+E725+E753+E773+E803+E812+E821+E839+E858+E867+E888+E893+E953+E973+E992+E999+E1005+E1011+E1031+E1043</f>
        <v>448828755.92000008</v>
      </c>
    </row>
    <row r="1054" spans="1:6" ht="13" x14ac:dyDescent="0.3">
      <c r="A1054" s="151"/>
      <c r="B1054" s="152"/>
      <c r="C1054" s="154"/>
      <c r="D1054" s="150"/>
      <c r="E1054" s="150"/>
    </row>
    <row r="1055" spans="1:6" ht="21" customHeight="1" x14ac:dyDescent="0.3">
      <c r="A1055" s="151" t="s">
        <v>31</v>
      </c>
      <c r="B1055" s="152" t="s">
        <v>1317</v>
      </c>
      <c r="C1055" s="154"/>
      <c r="D1055" s="150"/>
      <c r="E1055" s="150"/>
    </row>
    <row r="1056" spans="1:6" ht="13" hidden="1" x14ac:dyDescent="0.3">
      <c r="A1056" s="151"/>
      <c r="B1056" s="152"/>
      <c r="C1056" s="154"/>
      <c r="D1056" s="150"/>
      <c r="E1056" s="150"/>
    </row>
    <row r="1057" spans="1:6" ht="13" x14ac:dyDescent="0.3">
      <c r="A1057" s="151"/>
      <c r="B1057" s="152"/>
      <c r="C1057" s="152"/>
      <c r="D1057" s="152"/>
    </row>
    <row r="1058" spans="1:6" ht="46.15" customHeight="1" thickBot="1" x14ac:dyDescent="0.3">
      <c r="A1058" s="155" t="s">
        <v>19</v>
      </c>
      <c r="B1058" s="156" t="s">
        <v>20</v>
      </c>
      <c r="C1058" s="156" t="s">
        <v>1318</v>
      </c>
      <c r="D1058" s="157" t="s">
        <v>22</v>
      </c>
      <c r="E1058" s="158" t="s">
        <v>1319</v>
      </c>
      <c r="F1058" s="158" t="s">
        <v>24</v>
      </c>
    </row>
    <row r="1059" spans="1:6" ht="21" customHeight="1" x14ac:dyDescent="0.25">
      <c r="A1059" s="159" t="s">
        <v>1320</v>
      </c>
      <c r="B1059" s="160">
        <v>500</v>
      </c>
      <c r="C1059" s="161" t="s">
        <v>384</v>
      </c>
      <c r="D1059" s="162">
        <f>D1065</f>
        <v>44328708.670000166</v>
      </c>
      <c r="E1059" s="162">
        <f>E1065</f>
        <v>27572477.290000081</v>
      </c>
      <c r="F1059" s="163">
        <f>D1059-E1059</f>
        <v>16756231.380000085</v>
      </c>
    </row>
    <row r="1060" spans="1:6" ht="21" hidden="1" customHeight="1" x14ac:dyDescent="0.25">
      <c r="A1060" s="164" t="s">
        <v>121</v>
      </c>
      <c r="B1060" s="165"/>
      <c r="C1060" s="166"/>
      <c r="D1060" s="167"/>
      <c r="E1060" s="167"/>
      <c r="F1060" s="90"/>
    </row>
    <row r="1061" spans="1:6" ht="21" hidden="1" customHeight="1" x14ac:dyDescent="0.25">
      <c r="A1061" s="168" t="s">
        <v>1321</v>
      </c>
      <c r="B1061" s="169">
        <v>520</v>
      </c>
      <c r="C1061" s="170" t="s">
        <v>384</v>
      </c>
      <c r="D1061" s="171"/>
      <c r="E1061" s="171"/>
      <c r="F1061" s="172"/>
    </row>
    <row r="1062" spans="1:6" ht="21" hidden="1" customHeight="1" x14ac:dyDescent="0.25">
      <c r="A1062" s="173" t="s">
        <v>1322</v>
      </c>
      <c r="B1062" s="165"/>
      <c r="C1062" s="166"/>
      <c r="D1062" s="167"/>
      <c r="E1062" s="167"/>
      <c r="F1062" s="90"/>
    </row>
    <row r="1063" spans="1:6" ht="21" hidden="1" customHeight="1" x14ac:dyDescent="0.25">
      <c r="A1063" s="174" t="s">
        <v>1323</v>
      </c>
      <c r="B1063" s="169">
        <v>620</v>
      </c>
      <c r="C1063" s="175" t="s">
        <v>384</v>
      </c>
      <c r="D1063" s="171"/>
      <c r="E1063" s="171"/>
      <c r="F1063" s="172"/>
    </row>
    <row r="1064" spans="1:6" ht="21" hidden="1" customHeight="1" x14ac:dyDescent="0.25">
      <c r="A1064" s="174" t="s">
        <v>1322</v>
      </c>
      <c r="B1064" s="169"/>
      <c r="C1064" s="175"/>
      <c r="D1064" s="176"/>
      <c r="E1064" s="176"/>
      <c r="F1064" s="172"/>
    </row>
    <row r="1065" spans="1:6" ht="21" customHeight="1" x14ac:dyDescent="0.25">
      <c r="A1065" s="177" t="s">
        <v>1324</v>
      </c>
      <c r="B1065" s="178">
        <v>700</v>
      </c>
      <c r="C1065" s="179"/>
      <c r="D1065" s="89">
        <f>D1066+D1067</f>
        <v>44328708.670000166</v>
      </c>
      <c r="E1065" s="89">
        <f>E1068+E1076</f>
        <v>27572477.290000081</v>
      </c>
      <c r="F1065" s="172">
        <f>D1065-E1065</f>
        <v>16756231.380000085</v>
      </c>
    </row>
    <row r="1066" spans="1:6" ht="21" customHeight="1" x14ac:dyDescent="0.25">
      <c r="A1066" s="180" t="s">
        <v>1325</v>
      </c>
      <c r="B1066" s="169">
        <v>700</v>
      </c>
      <c r="C1066" s="175" t="s">
        <v>1326</v>
      </c>
      <c r="D1066" s="176">
        <f>D1070+D1078-4704559.28</f>
        <v>44328708.670000166</v>
      </c>
      <c r="E1066" s="176">
        <f>E1070+E1078</f>
        <v>27572477.290000081</v>
      </c>
      <c r="F1066" s="172">
        <f>D1066-E1066</f>
        <v>16756231.380000085</v>
      </c>
    </row>
    <row r="1067" spans="1:6" ht="21" hidden="1" customHeight="1" x14ac:dyDescent="0.25">
      <c r="A1067" s="180" t="s">
        <v>1325</v>
      </c>
      <c r="B1067" s="169">
        <v>700</v>
      </c>
      <c r="C1067" s="175" t="s">
        <v>1327</v>
      </c>
      <c r="D1067" s="176">
        <f>D1073+D1081</f>
        <v>0</v>
      </c>
      <c r="E1067" s="176">
        <f>E1073+E1081</f>
        <v>0</v>
      </c>
      <c r="F1067" s="181">
        <f>D1067-E1067</f>
        <v>0</v>
      </c>
    </row>
    <row r="1068" spans="1:6" ht="21" customHeight="1" x14ac:dyDescent="0.25">
      <c r="A1068" s="174" t="s">
        <v>1328</v>
      </c>
      <c r="B1068" s="169">
        <v>710</v>
      </c>
      <c r="C1068" s="175"/>
      <c r="D1068" s="176">
        <f>D1069</f>
        <v>-692942182.13999999</v>
      </c>
      <c r="E1068" s="176">
        <f>E1069</f>
        <v>-584219037.58999991</v>
      </c>
      <c r="F1068" s="182" t="s">
        <v>1329</v>
      </c>
    </row>
    <row r="1069" spans="1:6" ht="21" customHeight="1" x14ac:dyDescent="0.25">
      <c r="A1069" s="174" t="s">
        <v>1330</v>
      </c>
      <c r="B1069" s="169">
        <v>710</v>
      </c>
      <c r="C1069" s="175" t="s">
        <v>1331</v>
      </c>
      <c r="D1069" s="176">
        <f>D1070</f>
        <v>-692942182.13999999</v>
      </c>
      <c r="E1069" s="176">
        <f>E1070+E1073</f>
        <v>-584219037.58999991</v>
      </c>
      <c r="F1069" s="182" t="s">
        <v>1329</v>
      </c>
    </row>
    <row r="1070" spans="1:6" ht="21" customHeight="1" x14ac:dyDescent="0.25">
      <c r="A1070" s="174" t="s">
        <v>1332</v>
      </c>
      <c r="B1070" s="169">
        <v>710</v>
      </c>
      <c r="C1070" s="175" t="s">
        <v>1333</v>
      </c>
      <c r="D1070" s="183">
        <f>D1071</f>
        <v>-692942182.13999999</v>
      </c>
      <c r="E1070" s="183">
        <f>E1071</f>
        <v>-584219037.58999991</v>
      </c>
      <c r="F1070" s="182" t="s">
        <v>1329</v>
      </c>
    </row>
    <row r="1071" spans="1:6" ht="21" customHeight="1" x14ac:dyDescent="0.25">
      <c r="A1071" s="174" t="s">
        <v>1334</v>
      </c>
      <c r="B1071" s="169">
        <v>710</v>
      </c>
      <c r="C1071" s="175" t="s">
        <v>1335</v>
      </c>
      <c r="D1071" s="184">
        <f>D1072</f>
        <v>-692942182.13999999</v>
      </c>
      <c r="E1071" s="184">
        <f>E1072</f>
        <v>-584219037.58999991</v>
      </c>
      <c r="F1071" s="182" t="s">
        <v>1329</v>
      </c>
    </row>
    <row r="1072" spans="1:6" ht="21" customHeight="1" x14ac:dyDescent="0.25">
      <c r="A1072" s="174" t="s">
        <v>1336</v>
      </c>
      <c r="B1072" s="169">
        <v>710</v>
      </c>
      <c r="C1072" s="175" t="s">
        <v>1337</v>
      </c>
      <c r="D1072" s="184">
        <f>-D15</f>
        <v>-692942182.13999999</v>
      </c>
      <c r="E1072" s="184">
        <f>-E15-5469530.66</f>
        <v>-584219037.58999991</v>
      </c>
      <c r="F1072" s="182" t="s">
        <v>1329</v>
      </c>
    </row>
    <row r="1073" spans="1:6" ht="21" hidden="1" customHeight="1" x14ac:dyDescent="0.25">
      <c r="A1073" s="174" t="s">
        <v>1332</v>
      </c>
      <c r="B1073" s="169">
        <v>710</v>
      </c>
      <c r="C1073" s="175" t="s">
        <v>1338</v>
      </c>
      <c r="D1073" s="185"/>
      <c r="E1073" s="184">
        <f>E1074</f>
        <v>0</v>
      </c>
      <c r="F1073" s="182" t="s">
        <v>1329</v>
      </c>
    </row>
    <row r="1074" spans="1:6" ht="21" hidden="1" customHeight="1" x14ac:dyDescent="0.25">
      <c r="A1074" s="174" t="s">
        <v>1334</v>
      </c>
      <c r="B1074" s="169">
        <v>710</v>
      </c>
      <c r="C1074" s="175" t="s">
        <v>1339</v>
      </c>
      <c r="D1074" s="185"/>
      <c r="E1074" s="184">
        <f>E1075</f>
        <v>0</v>
      </c>
      <c r="F1074" s="182" t="s">
        <v>1329</v>
      </c>
    </row>
    <row r="1075" spans="1:6" ht="21" hidden="1" customHeight="1" x14ac:dyDescent="0.25">
      <c r="A1075" s="174" t="s">
        <v>1336</v>
      </c>
      <c r="B1075" s="169">
        <v>710</v>
      </c>
      <c r="C1075" s="175" t="s">
        <v>1340</v>
      </c>
      <c r="D1075" s="185"/>
      <c r="E1075" s="184"/>
      <c r="F1075" s="182" t="s">
        <v>1329</v>
      </c>
    </row>
    <row r="1076" spans="1:6" ht="21" customHeight="1" x14ac:dyDescent="0.25">
      <c r="A1076" s="174" t="s">
        <v>1341</v>
      </c>
      <c r="B1076" s="169">
        <v>720</v>
      </c>
      <c r="C1076" s="175"/>
      <c r="D1076" s="184">
        <f>D1077</f>
        <v>741975450.09000015</v>
      </c>
      <c r="E1076" s="184">
        <f>E1077</f>
        <v>611791514.88</v>
      </c>
      <c r="F1076" s="182" t="s">
        <v>1329</v>
      </c>
    </row>
    <row r="1077" spans="1:6" x14ac:dyDescent="0.25">
      <c r="A1077" s="174" t="s">
        <v>1342</v>
      </c>
      <c r="B1077" s="169">
        <v>720</v>
      </c>
      <c r="C1077" s="175" t="s">
        <v>1343</v>
      </c>
      <c r="D1077" s="184">
        <f>D1078+D1081</f>
        <v>741975450.09000015</v>
      </c>
      <c r="E1077" s="184">
        <f>E1078+E1081</f>
        <v>611791514.88</v>
      </c>
      <c r="F1077" s="182" t="s">
        <v>1329</v>
      </c>
    </row>
    <row r="1078" spans="1:6" x14ac:dyDescent="0.25">
      <c r="A1078" s="174" t="s">
        <v>1344</v>
      </c>
      <c r="B1078" s="169">
        <v>720</v>
      </c>
      <c r="C1078" s="175" t="s">
        <v>1345</v>
      </c>
      <c r="D1078" s="184">
        <f>D1079</f>
        <v>741975450.09000015</v>
      </c>
      <c r="E1078" s="184">
        <f>E1079</f>
        <v>611791514.88</v>
      </c>
      <c r="F1078" s="182" t="s">
        <v>1329</v>
      </c>
    </row>
    <row r="1079" spans="1:6" ht="21" x14ac:dyDescent="0.25">
      <c r="A1079" s="174" t="s">
        <v>1346</v>
      </c>
      <c r="B1079" s="169">
        <v>720</v>
      </c>
      <c r="C1079" s="175" t="s">
        <v>1347</v>
      </c>
      <c r="D1079" s="184">
        <f>D1080</f>
        <v>741975450.09000015</v>
      </c>
      <c r="E1079" s="184">
        <f>E1080</f>
        <v>611791514.88</v>
      </c>
      <c r="F1079" s="182" t="s">
        <v>1329</v>
      </c>
    </row>
    <row r="1080" spans="1:6" ht="21" x14ac:dyDescent="0.25">
      <c r="A1080" s="174" t="s">
        <v>1348</v>
      </c>
      <c r="B1080" s="169">
        <v>720</v>
      </c>
      <c r="C1080" s="175" t="s">
        <v>1349</v>
      </c>
      <c r="D1080" s="184">
        <f>D209</f>
        <v>741975450.09000015</v>
      </c>
      <c r="E1080" s="184">
        <f>E209+5469530.66</f>
        <v>611791514.88</v>
      </c>
      <c r="F1080" s="182" t="s">
        <v>1329</v>
      </c>
    </row>
    <row r="1081" spans="1:6" ht="25.15" hidden="1" customHeight="1" x14ac:dyDescent="0.25">
      <c r="A1081" s="174" t="s">
        <v>1344</v>
      </c>
      <c r="B1081" s="169">
        <v>720</v>
      </c>
      <c r="C1081" s="175" t="s">
        <v>1350</v>
      </c>
      <c r="D1081" s="186">
        <f>D1082</f>
        <v>0</v>
      </c>
      <c r="E1081" s="184">
        <f>E1082</f>
        <v>0</v>
      </c>
      <c r="F1081" s="182" t="s">
        <v>1329</v>
      </c>
    </row>
    <row r="1082" spans="1:6" ht="21" hidden="1" x14ac:dyDescent="0.25">
      <c r="A1082" s="180" t="s">
        <v>1346</v>
      </c>
      <c r="B1082" s="169">
        <v>720</v>
      </c>
      <c r="C1082" s="175" t="s">
        <v>1351</v>
      </c>
      <c r="D1082" s="187">
        <f>D1083</f>
        <v>0</v>
      </c>
      <c r="E1082" s="176">
        <f>E1083</f>
        <v>0</v>
      </c>
      <c r="F1082" s="182" t="s">
        <v>1329</v>
      </c>
    </row>
    <row r="1083" spans="1:6" ht="21.5" hidden="1" thickBot="1" x14ac:dyDescent="0.3">
      <c r="A1083" s="174" t="s">
        <v>1348</v>
      </c>
      <c r="B1083" s="188">
        <v>720</v>
      </c>
      <c r="C1083" s="189" t="s">
        <v>1352</v>
      </c>
      <c r="D1083" s="190"/>
      <c r="E1083" s="191"/>
      <c r="F1083" s="192" t="s">
        <v>1329</v>
      </c>
    </row>
    <row r="1084" spans="1:6" x14ac:dyDescent="0.25">
      <c r="A1084" s="5"/>
      <c r="C1084" s="194"/>
      <c r="D1084" s="195"/>
      <c r="E1084" s="195"/>
      <c r="F1084" s="195"/>
    </row>
    <row r="1085" spans="1:6" x14ac:dyDescent="0.25">
      <c r="A1085" s="196" t="s">
        <v>1353</v>
      </c>
      <c r="D1085" s="76"/>
      <c r="E1085" s="76"/>
    </row>
    <row r="1086" spans="1:6" x14ac:dyDescent="0.25">
      <c r="A1086" s="5" t="s">
        <v>1354</v>
      </c>
      <c r="C1086"/>
    </row>
    <row r="1087" spans="1:6" x14ac:dyDescent="0.25">
      <c r="A1087" s="5"/>
      <c r="C1087" s="194"/>
      <c r="D1087" s="195"/>
      <c r="E1087" s="195"/>
      <c r="F1087" s="195"/>
    </row>
    <row r="1088" spans="1:6" x14ac:dyDescent="0.25">
      <c r="A1088" s="197" t="s">
        <v>1355</v>
      </c>
      <c r="C1088" s="198"/>
    </row>
    <row r="1089" spans="1:95" s="193" customFormat="1" x14ac:dyDescent="0.25">
      <c r="A1089" s="197" t="s">
        <v>1356</v>
      </c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</row>
    <row r="1090" spans="1:95" x14ac:dyDescent="0.25">
      <c r="A1090" s="4"/>
      <c r="C1090" s="194"/>
      <c r="D1090" s="195"/>
      <c r="E1090" s="195"/>
      <c r="F1090" s="195"/>
    </row>
    <row r="1091" spans="1:95" x14ac:dyDescent="0.25">
      <c r="A1091" s="197" t="s">
        <v>1357</v>
      </c>
    </row>
    <row r="1092" spans="1:95" x14ac:dyDescent="0.25">
      <c r="A1092" s="5" t="s">
        <v>1358</v>
      </c>
    </row>
    <row r="1093" spans="1:95" x14ac:dyDescent="0.25">
      <c r="A1093" s="5"/>
    </row>
    <row r="1094" spans="1:95" x14ac:dyDescent="0.25">
      <c r="A1094" s="199" t="s">
        <v>1359</v>
      </c>
    </row>
    <row r="1097" spans="1:95" s="193" customFormat="1" x14ac:dyDescent="0.25">
      <c r="A1097" s="200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</row>
  </sheetData>
  <mergeCells count="21">
    <mergeCell ref="D1084:F1084"/>
    <mergeCell ref="D1087:F1087"/>
    <mergeCell ref="D1090:F1090"/>
    <mergeCell ref="E11:E13"/>
    <mergeCell ref="F11:F13"/>
    <mergeCell ref="B203:C203"/>
    <mergeCell ref="A205:A207"/>
    <mergeCell ref="B205:B207"/>
    <mergeCell ref="C205:C207"/>
    <mergeCell ref="D205:D207"/>
    <mergeCell ref="E205:E207"/>
    <mergeCell ref="F205:F207"/>
    <mergeCell ref="B5:D5"/>
    <mergeCell ref="C6:D6"/>
    <mergeCell ref="B8:C8"/>
    <mergeCell ref="B9:C9"/>
    <mergeCell ref="B10:C10"/>
    <mergeCell ref="A11:A13"/>
    <mergeCell ref="B11:B13"/>
    <mergeCell ref="C11:C13"/>
    <mergeCell ref="D11:D13"/>
  </mergeCells>
  <pageMargins left="0.39370078740157483" right="0" top="0.39370078740157483" bottom="0.19685039370078741" header="0" footer="0"/>
  <pageSetup paperSize="9" scale="90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117(октябрь)</vt:lpstr>
      <vt:lpstr>'форма 117(октябрь)'!Заголовки_для_печати</vt:lpstr>
      <vt:lpstr>'форма 117(октябрь)'!Область_печати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Мацебурская Светлана Владиславовна</dc:creator>
  <cp:lastModifiedBy>Мацебурская Светлана Владиславовна</cp:lastModifiedBy>
  <dcterms:created xsi:type="dcterms:W3CDTF">2025-11-12T04:26:13Z</dcterms:created>
  <dcterms:modified xsi:type="dcterms:W3CDTF">2025-11-12T04:27:18Z</dcterms:modified>
</cp:coreProperties>
</file>